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van\Desktop\PAOLA BOCANEGRA\FVC\TALLERES\CONVOCATORIA\"/>
    </mc:Choice>
  </mc:AlternateContent>
  <bookViews>
    <workbookView xWindow="0" yWindow="0" windowWidth="20490" windowHeight="7320"/>
  </bookViews>
  <sheets>
    <sheet name="Resumen" sheetId="1" r:id="rId1"/>
    <sheet name="RH_EE" sheetId="2" r:id="rId2"/>
    <sheet name="EA" sheetId="3" r:id="rId3"/>
    <sheet name="ET" sheetId="4" r:id="rId4"/>
    <sheet name="PT" sheetId="5" r:id="rId5"/>
  </sheets>
  <definedNames>
    <definedName name="_xlnm.Print_Area" localSheetId="2">EA!$A$1:$D$27</definedName>
    <definedName name="_xlnm.Print_Area" localSheetId="3">ET!$A$1:$E$18</definedName>
    <definedName name="_xlnm.Print_Area" localSheetId="0">Resumen!$A$1:$J$7</definedName>
    <definedName name="_xlnm.Print_Area" localSheetId="1">RH_EE!$A$1:$H$11</definedName>
    <definedName name="_xlnm.Print_Titles" localSheetId="2">EA!$1:$1</definedName>
    <definedName name="_xlnm.Print_Titles" localSheetId="3">ET!$1:$1</definedName>
    <definedName name="_xlnm.Print_Titles" localSheetId="1">RH_EE!$1:$3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0" i="4" l="1"/>
  <c r="B80" i="4"/>
  <c r="D35" i="4"/>
  <c r="E51" i="4"/>
  <c r="E49" i="4"/>
  <c r="E41" i="4"/>
  <c r="E102" i="4"/>
  <c r="E96" i="4"/>
  <c r="E97" i="4"/>
  <c r="E95" i="4"/>
  <c r="E94" i="4"/>
  <c r="E93" i="4"/>
  <c r="E87" i="4"/>
  <c r="E101" i="4" l="1"/>
  <c r="E98" i="4"/>
  <c r="E99" i="4"/>
  <c r="E100" i="4"/>
  <c r="E103" i="4"/>
  <c r="E89" i="4"/>
  <c r="E88" i="4"/>
  <c r="E86" i="4"/>
  <c r="E85" i="4"/>
  <c r="E104" i="4" l="1"/>
  <c r="J4" i="1"/>
  <c r="J5" i="1"/>
  <c r="J6" i="1"/>
  <c r="J7" i="1"/>
  <c r="J3" i="1"/>
  <c r="E27" i="3"/>
  <c r="E7" i="3" l="1"/>
  <c r="E12" i="3"/>
  <c r="E22" i="3"/>
  <c r="E17" i="3"/>
  <c r="E56" i="4" l="1"/>
  <c r="E53" i="4"/>
  <c r="E57" i="4"/>
  <c r="E55" i="4"/>
  <c r="E44" i="4"/>
  <c r="E43" i="4"/>
  <c r="E39" i="4"/>
  <c r="E40" i="4"/>
  <c r="E42" i="4"/>
  <c r="E48" i="4"/>
  <c r="E50" i="4"/>
  <c r="E52" i="4"/>
  <c r="E54" i="4"/>
  <c r="E61" i="4"/>
  <c r="E62" i="4"/>
  <c r="E63" i="4"/>
  <c r="E64" i="4"/>
  <c r="E65" i="4"/>
  <c r="E66" i="4"/>
  <c r="E67" i="4"/>
  <c r="B35" i="4" l="1"/>
  <c r="E189" i="4"/>
  <c r="E188" i="4"/>
  <c r="E187" i="4"/>
  <c r="E182" i="4"/>
  <c r="E178" i="4"/>
  <c r="E174" i="4"/>
  <c r="H36" i="2"/>
  <c r="H37" i="2"/>
  <c r="H38" i="2"/>
  <c r="E179" i="4" l="1"/>
  <c r="D170" i="4"/>
  <c r="E183" i="4"/>
  <c r="F170" i="4"/>
  <c r="E190" i="4"/>
  <c r="E175" i="4"/>
  <c r="B170" i="4"/>
  <c r="C126" i="4" l="1"/>
  <c r="E163" i="4"/>
  <c r="E164" i="4" s="1"/>
  <c r="E157" i="4"/>
  <c r="E152" i="4"/>
  <c r="E151" i="4"/>
  <c r="E153" i="4"/>
  <c r="E154" i="4"/>
  <c r="E155" i="4"/>
  <c r="E156" i="4"/>
  <c r="E158" i="4"/>
  <c r="E140" i="4"/>
  <c r="E141" i="4"/>
  <c r="E142" i="4"/>
  <c r="E143" i="4"/>
  <c r="E144" i="4"/>
  <c r="E145" i="4"/>
  <c r="E146" i="4"/>
  <c r="E147" i="4"/>
  <c r="F125" i="4" l="1"/>
  <c r="F126" i="4" s="1"/>
  <c r="D125" i="4"/>
  <c r="H125" i="4"/>
  <c r="H126" i="4" s="1"/>
  <c r="E159" i="4"/>
  <c r="E148" i="4"/>
  <c r="E129" i="4"/>
  <c r="E130" i="4"/>
  <c r="E131" i="4"/>
  <c r="E132" i="4"/>
  <c r="E133" i="4"/>
  <c r="E134" i="4"/>
  <c r="E135" i="4"/>
  <c r="E136" i="4"/>
  <c r="C81" i="4"/>
  <c r="E81" i="4"/>
  <c r="H7" i="4"/>
  <c r="F7" i="4"/>
  <c r="D7" i="4"/>
  <c r="B7" i="4"/>
  <c r="E73" i="4"/>
  <c r="E72" i="4"/>
  <c r="B125" i="4" l="1"/>
  <c r="B126" i="4" s="1"/>
  <c r="E137" i="4"/>
  <c r="J81" i="4"/>
  <c r="E45" i="4"/>
  <c r="E74" i="4"/>
  <c r="F35" i="4"/>
  <c r="E68" i="4"/>
  <c r="E58" i="4"/>
  <c r="H35" i="4"/>
  <c r="H15" i="2"/>
  <c r="H16" i="2"/>
  <c r="H17" i="2"/>
  <c r="H29" i="2" l="1"/>
  <c r="H30" i="2"/>
  <c r="H31" i="2"/>
  <c r="E118" i="4" l="1"/>
  <c r="E117" i="4"/>
  <c r="E116" i="4"/>
  <c r="E107" i="4"/>
  <c r="E108" i="4"/>
  <c r="E109" i="4"/>
  <c r="E110" i="4"/>
  <c r="E111" i="4"/>
  <c r="H80" i="4" l="1"/>
  <c r="H81" i="4" s="1"/>
  <c r="F80" i="4"/>
  <c r="F81" i="4" s="1"/>
  <c r="E119" i="4"/>
  <c r="E112" i="4"/>
  <c r="E84" i="4" l="1"/>
  <c r="H24" i="2"/>
  <c r="H22" i="2"/>
  <c r="B81" i="4" l="1"/>
  <c r="E90" i="4"/>
  <c r="D81" i="4"/>
  <c r="H39" i="2"/>
  <c r="H32" i="2"/>
  <c r="H25" i="2"/>
  <c r="H18" i="2"/>
  <c r="E171" i="4"/>
  <c r="C171" i="4"/>
  <c r="E126" i="4"/>
  <c r="J126" i="4" s="1"/>
  <c r="E36" i="4"/>
  <c r="C36" i="4"/>
  <c r="E8" i="4"/>
  <c r="C8" i="4"/>
  <c r="H7" i="2"/>
  <c r="H6" i="2"/>
  <c r="H8" i="2"/>
  <c r="H9" i="2"/>
  <c r="J171" i="4" l="1"/>
  <c r="J36" i="4"/>
  <c r="J8" i="4"/>
  <c r="H11" i="2"/>
  <c r="B3" i="2" l="1"/>
  <c r="E10" i="2" s="1"/>
  <c r="E37" i="2" l="1"/>
  <c r="E38" i="2"/>
  <c r="E36" i="2"/>
  <c r="E16" i="2"/>
  <c r="E15" i="2"/>
  <c r="E17" i="2"/>
  <c r="E30" i="2"/>
  <c r="E31" i="2"/>
  <c r="E29" i="2"/>
  <c r="E23" i="2"/>
  <c r="E22" i="2"/>
  <c r="E24" i="2"/>
  <c r="E7" i="2"/>
  <c r="E11" i="2" s="1"/>
  <c r="E6" i="2"/>
  <c r="E8" i="2"/>
  <c r="E9" i="2"/>
  <c r="E39" i="2" l="1"/>
  <c r="E32" i="2"/>
  <c r="E25" i="2"/>
  <c r="E18" i="2"/>
</calcChain>
</file>

<file path=xl/sharedStrings.xml><?xml version="1.0" encoding="utf-8"?>
<sst xmlns="http://schemas.openxmlformats.org/spreadsheetml/2006/main" count="703" uniqueCount="296">
  <si>
    <t>Requisito Habilitante</t>
  </si>
  <si>
    <t xml:space="preserve"> (Hasta 30 puntos)</t>
  </si>
  <si>
    <t>(Hasta 50 puntos)</t>
  </si>
  <si>
    <t>(Hasta 20 puntos)</t>
  </si>
  <si>
    <t>(Hasta 100 puntos)</t>
  </si>
  <si>
    <t>No.</t>
  </si>
  <si>
    <t>Proponente</t>
  </si>
  <si>
    <t>Propuesta técnica</t>
  </si>
  <si>
    <t>Experiencia_Específica</t>
  </si>
  <si>
    <t>Puntaje_EE</t>
  </si>
  <si>
    <t>Valor Propuesta Económica [COP$]</t>
  </si>
  <si>
    <t>Puntaje_PE</t>
  </si>
  <si>
    <t>Puntaje_ET</t>
  </si>
  <si>
    <t>Total</t>
  </si>
  <si>
    <t>HÁPTICA</t>
  </si>
  <si>
    <t>Si</t>
  </si>
  <si>
    <t>Cumple</t>
  </si>
  <si>
    <t>DIDACSIS</t>
  </si>
  <si>
    <t>POLITÉCNICO GRANCOLOMBIANO</t>
  </si>
  <si>
    <t xml:space="preserve">DISRUPTIVE </t>
  </si>
  <si>
    <t>CAEM</t>
  </si>
  <si>
    <r>
      <t xml:space="preserve">Hasta tres (3) contratos celebrados, ejecutados y finalizados en los últimos </t>
    </r>
    <r>
      <rPr>
        <b/>
        <sz val="11"/>
        <color theme="1"/>
        <rFont val="Calibri"/>
        <family val="2"/>
        <scheme val="minor"/>
      </rPr>
      <t xml:space="preserve">10 años </t>
    </r>
    <r>
      <rPr>
        <sz val="11"/>
        <color theme="1"/>
        <rFont val="Calibri"/>
        <family val="2"/>
        <scheme val="minor"/>
      </rPr>
      <t xml:space="preserve">que acrediten experiencia específica en el </t>
    </r>
    <r>
      <rPr>
        <b/>
        <sz val="11"/>
        <color theme="1"/>
        <rFont val="Calibri"/>
        <family val="2"/>
        <scheme val="minor"/>
      </rPr>
      <t>diseño, desarrollo, sistematización y facilitación de espacios virtuales</t>
    </r>
    <r>
      <rPr>
        <sz val="11"/>
        <color theme="1"/>
        <rFont val="Calibri"/>
        <family val="2"/>
        <scheme val="minor"/>
      </rPr>
      <t xml:space="preserve"> en plataforma libre, cuyo valor sumado en pesos sea superior o igual a cien </t>
    </r>
    <r>
      <rPr>
        <b/>
        <sz val="11"/>
        <color theme="1"/>
        <rFont val="Calibri"/>
        <family val="2"/>
        <scheme val="minor"/>
      </rPr>
      <t>(100) SMLMV</t>
    </r>
    <r>
      <rPr>
        <sz val="11"/>
        <color theme="1"/>
        <rFont val="Calibri"/>
        <family val="2"/>
        <scheme val="minor"/>
      </rPr>
      <t>.</t>
    </r>
  </si>
  <si>
    <t>30/mayo/2020 - 30/mayo/2010</t>
  </si>
  <si>
    <t>30/mayo/2020 - 30/mayo/2017</t>
  </si>
  <si>
    <t>SMMLV (2020)</t>
  </si>
  <si>
    <t>Subsidio de Transporte (2020)</t>
  </si>
  <si>
    <t>Proponente 1</t>
  </si>
  <si>
    <t>Haptica</t>
  </si>
  <si>
    <t>Contrato</t>
  </si>
  <si>
    <t>Objeto</t>
  </si>
  <si>
    <t>Valor [COP$]</t>
  </si>
  <si>
    <t>Participación [%]</t>
  </si>
  <si>
    <t>Valor [SMMLV]</t>
  </si>
  <si>
    <t>Fecha_inicio</t>
  </si>
  <si>
    <t>Fecha_final</t>
  </si>
  <si>
    <t>Duración</t>
  </si>
  <si>
    <t>Observaciones</t>
  </si>
  <si>
    <t>Habilita</t>
  </si>
  <si>
    <t>Soporte</t>
  </si>
  <si>
    <t xml:space="preserve"> Facilitar talleres de conceptualización de idea y prototipado para el programa de Gestión de la Innovación de Bogotá Innova</t>
  </si>
  <si>
    <t>No presenta información detallada del contrato. Las actividades son de carácter presencial por lo que no habilitan al proponente</t>
  </si>
  <si>
    <t>No</t>
  </si>
  <si>
    <t>Certificación firmada por Cámara de Comercio de Bogotá 06/12/2017</t>
  </si>
  <si>
    <t xml:space="preserve">Resaliar el diseño y producción de 10 cápsulas de aprendizaje virtual denominadas "Cápsulas de innovación". </t>
  </si>
  <si>
    <t>No presenta información detallada del contrato</t>
  </si>
  <si>
    <t>Sí</t>
  </si>
  <si>
    <t>Realizar talleres de "innovación en servicios"</t>
  </si>
  <si>
    <t>Consultoría y formación en Design Thinking</t>
  </si>
  <si>
    <t>Se especifica el rediseño de experiencia de afiliados en los canales de contacto de la compañía, implementación de metodología de pensamiento de diseño, sesiones de co-creación. (Sector privado). Las actividades son de carácter presencial por lo que no habilitan al proponente</t>
  </si>
  <si>
    <t>Certificación firmada por Porvernir 27/09/2017</t>
  </si>
  <si>
    <t>Talleres digitales de Legal Design</t>
  </si>
  <si>
    <t>La experiencia presentada no alcanza los requisitos mínimos habilitantes</t>
  </si>
  <si>
    <t>Proponente 2</t>
  </si>
  <si>
    <t>Didacsis</t>
  </si>
  <si>
    <t>Servicio de plataforma Delfos y virtualización de contenidos</t>
  </si>
  <si>
    <t>Certificacion firmada por Spring 06/06/2019</t>
  </si>
  <si>
    <t>Personalización gráfica y funcional, Hosting, Soporte administrativo y técnico de la Plataforma Moodle, y Virtualización del Programa de Formación para Aspirantes a Asesores de Microcrédito</t>
  </si>
  <si>
    <t>(Sector privado)</t>
  </si>
  <si>
    <t>Certificacion firmada por Asomicrofinanzas 05/06/2019</t>
  </si>
  <si>
    <t>Prestar por sus propios medios, con plena autonomía técnica y administrativa, los servicios profesionales de diseño y puesta en marcha de un curso MOOC – Massive Online Open Course – en estructuración de proyectos y en financiamiento climático, bajo plataforma MOODLE, con destino al Departamento Nacional de Planeación – DNP en el desempeño de sus actividades como Autoridad Nacional Designada ante el Fondo Verde del Clima en el marco de la ejecución del Grant Agreement firmado entre el FVC y APCColombia de fecha 14 de mayo de 2018.</t>
  </si>
  <si>
    <t>(Sector público)</t>
  </si>
  <si>
    <t>Certificacion firmada por APC  04/06/2020</t>
  </si>
  <si>
    <t>Proponente 3</t>
  </si>
  <si>
    <t>Politécnico Surcolombiano</t>
  </si>
  <si>
    <t>"Contrato No. PG7225_021216 de educación, conducente a la realización de programas de formación virtual: Curso los Refugiados y la Protección Internacional. 2.672 estudiantes inscritos."</t>
  </si>
  <si>
    <t>Se especifica la realización de un curso virtual, en donde se inscribieron 2672 estudiantes</t>
  </si>
  <si>
    <t>Certificadción firmada por UNHCR 05/04/2019</t>
  </si>
  <si>
    <t>"Convenio de Cooperación académica de educación, conducente a la realización de programas de formación virtual referente a Técnicos profesionales (judicial, soporte para centros de servicios, gestión de aduanas y comercio exterior), Transición en Tecnologías (gestión bancaría, ambiental y entidades financieras, recursos humanos, turística, mercadeo, financiera, logística) y estudios generales. 129 personas capacitadas."</t>
  </si>
  <si>
    <t>Se especifica que en el marco de un convenio de cooperación de educación conducente a la realización de programas de formación virtual para técnicos profesionales, de transición en tecnologías y estudios generales. (Sector privado)</t>
  </si>
  <si>
    <t>Certificación firmada por Inversiones Espinosa Millan LTDA Gimnasio Campestre Reino Británico 16/03/2018</t>
  </si>
  <si>
    <t>"Contrato de prestación de servicios de formación
conducente a la realización de programas de formación virtual con relación a:
1. Diplomado idoneidad profesional en la intermediación de seguros. 90 horas, 96 personas capacitadas.
2. Curso de producción propios. 35 horas. 1.012 personas capacitadas.
3. Curso básico de idoneidad. 56 horas. 81 personas
capacitadas"</t>
  </si>
  <si>
    <t>Se especifica dentro del contrato de prestación de servicios de formación virtual la realización de diplomados y cursos. (Sector privado)</t>
  </si>
  <si>
    <t>Certificación firmada por La Previsora 14/02/2019</t>
  </si>
  <si>
    <t>Proponente 4</t>
  </si>
  <si>
    <t>Disruptive</t>
  </si>
  <si>
    <t>Plataforma de educación virtual empresarial bajo un esquema de software como servicio.</t>
  </si>
  <si>
    <t xml:space="preserve">Certificación firmada por Disan s.f. </t>
  </si>
  <si>
    <t>Licenciamiento de plataforma de educación virtual empresarial bajo la modalidad SAAS, desarrollo de la inducción corporativa a través de la plataforma e-learning para todo el personal de la compañia.</t>
  </si>
  <si>
    <t xml:space="preserve">Certificación firmada por Dicorp s.f. </t>
  </si>
  <si>
    <t>Servicio para desarrollo de curso virtual a la medida denominado: "Sistema de  Gestión de Seguridad y Salud en el Trabajo"</t>
  </si>
  <si>
    <t xml:space="preserve">Certificación firmada por Aseguradora Solidaria el 25/10/2019 </t>
  </si>
  <si>
    <t>Proponente 5</t>
  </si>
  <si>
    <t>Puntaje</t>
  </si>
  <si>
    <t>Aunar esfuerzos para desarrollar actividades tendientes a consolidar una oferta de talento humano con competencias para identificar oportunidades para la implementación de estrategias de Producción Mas limpia e incursionar en mercados en los sectores productivos de los municipios de la jurisdicción CAR, en el Marco de convenio de cooperación No 00611/2010 (CAR), 4600003197/2010 (CCB)</t>
  </si>
  <si>
    <t xml:space="preserve">Entre las actividades del convenio se incluye el diseño de un diplomado virtual </t>
  </si>
  <si>
    <t>CONVENIO DE COOPERACIÓN No 4600003439/2011</t>
  </si>
  <si>
    <t>Operar la Ventanilla Ambiental CAR, para promover el desarrollo productivo sostenible, apoyando la adopción de estrategias de producción Mas limpia y Consumo Sostenible en los sectores productivos de la jurisdiccionde la CAR</t>
  </si>
  <si>
    <t>Entre las actividades del convenio se incluye el desarrollo de dos (2) diplomados virtuales</t>
  </si>
  <si>
    <t>CONVENIO DE ASOCIACION No 0000543 de 2012</t>
  </si>
  <si>
    <t xml:space="preserve">Aunar esfuerzos entre la CAR Y CAEM, para promover Acciones Nacionalmente Apropiadas de Mitigación de gases de efecto invernadero, en el sector empresarial ubicado en la jurisdicción CAR, enmacado en el cálculo de huella de carbono y eficiencia energética, así como promover estrategias de autogestón ambiental para manejo  integral de recurso hídrico y el seguimiento a la implementación de la huella de carbono municipal. </t>
  </si>
  <si>
    <t>No cumple con requisito habilitante en formación virtual</t>
  </si>
  <si>
    <t>Experiencia Adicional</t>
  </si>
  <si>
    <t>Un (1) contrato finalizado en los últimos TRES años por experiencia específica acreditable en diseño, desarrollo, sistematización y facilitación de espacios virtuales en plataforma libre para el sector privado,  público o en regiones.</t>
  </si>
  <si>
    <t>Dos (2) contrato finalizado en los últimos TRES años por experiencia específica acreditable en diseño, desarrollo, sistematización y facilitación de espacios virtuales en plataforma libre para el sector privado, público o en regiones.</t>
  </si>
  <si>
    <t>Observación</t>
  </si>
  <si>
    <t xml:space="preserve">Servicios de formación en metodología de design thinking en Colombia, Chile, Argentina, Brasil, México, Puerto Rico y Chicago. </t>
  </si>
  <si>
    <t xml:space="preserve">Certificación firmada por Abbvie el 27/09/2017. </t>
  </si>
  <si>
    <t>La actividad objeto del contrato es presencial por lo que no se tiene en cuenta como experiencia adicional</t>
  </si>
  <si>
    <t xml:space="preserve">Observación </t>
  </si>
  <si>
    <t>Diseño, implementación de un portal virtual de aprendizaje y cursos virtuales bajo la plataforma Moodle, que permita al DNP desarrollar y administrar sus procesos normativos para el curso de introducción a la Mejora Regulatoria y Análisis de Impacto Normativo – AIN</t>
  </si>
  <si>
    <t>Contrato No. 3000057745 el 13/03/2018</t>
  </si>
  <si>
    <t>Es compatible con los requisitos solicitados en los TDRs</t>
  </si>
  <si>
    <t>Certificación firmada por la Agencia Presidencial de Cooperación Internacional - APC Colombia el 4/06/2020</t>
  </si>
  <si>
    <t xml:space="preserve">Contrato de prestación de servicios de educación
conducente a la realización de programas de formación virtual en:
1. Transformación digital una apuesta a la estrategia. 100 horas 47 personas capacitadas.
2. Entorno de business intelligence y Big Data en el sector de BPO. 100 horas 20 personas capacitadas.
3. Minería de datos y herramientas de Big Data. 100 horas. 23 personas capacitadas. </t>
  </si>
  <si>
    <t xml:space="preserve">Certificación firmada por ASOCIACIÓN COLOMBIANA DE CONTACT CENTERS &amp; BPO BUSINESS PROCESS OUTSOURCING el 24/01/2019. </t>
  </si>
  <si>
    <t>Contrato No. PG7225_021216 de educación, conducente a la realización de programas de formación virtual: Curso los Refugiados y la Protección Internacional. 2.672 estudiantes inscritos.</t>
  </si>
  <si>
    <t>Certificación firmada por ACNUR el 5/04/2019</t>
  </si>
  <si>
    <t>"Creación y gestión de cursos de formación y la inclusión de contenidos formativos bajo esquema de software.
Nota: el proyecto se celebró en moneda extranjera dolar americano y se cotiza 
con la TRM del día 10-06-2020  por valor: 3.565 pesos por dolar) "</t>
  </si>
  <si>
    <t xml:space="preserve">Certificación firmada por Cobiscorp Colombia el s.f. </t>
  </si>
  <si>
    <t>No se evidencia el sector al que fue dirigido el objeto del contrato</t>
  </si>
  <si>
    <t>"La prestación del servicio de Plataforma de e-learning Eduvolucion (nombre de plataforma en proceso de cambio por “Zalvadora”) por parte de EL PROVEEDOR a favor de EL CLIENTE, en modalidad Software como Servicio (SaaS), para la gestión y publicación de los cursos virtuales que ésta ofrece a sus afiliados."</t>
  </si>
  <si>
    <t xml:space="preserve">Certificación firmada por Cámara de Comercio de Bucaramanga 07/05/2020. </t>
  </si>
  <si>
    <t>Convenio 1427 /2017. Aunar esfuerzos entre la CAR y la CAEM, para promover acciones Nacionalmente Apropiadas de Mitigación de Gases de Efecto Invernadero, en el sector empresarial ubicado en la jurisdicción de la CAR, mediante el cálculo de huella de Carbono y eficiencia energética y la promoción de estrategias de autogestión ambiental para el manejo integral del recurso hídrico.</t>
  </si>
  <si>
    <t xml:space="preserve">Convenio 3095 de 2018. Aunar esfuerzo entre la CAR y la CAEM, para promover acciones de reconversión hacia sistemas sostenibles de producción mediante el cálculo de a huella de carbono, el manejo integral del recurso hídrico, la gestión del riesgo ambiental y la promoción de buenas prácticas en las empresas y unidades productivas asentadas en la jurisdicción de la CAR. </t>
  </si>
  <si>
    <t>Convenio de asociación No. 543 de 2012 de 13/09/2013</t>
  </si>
  <si>
    <t>Equipo de Trabajo</t>
  </si>
  <si>
    <r>
      <t xml:space="preserve">Un (1) profesional en administración, ingeniería, ciencias sociales, ciencias ambientales o afines con título de posgrado en áreas relacionadas con, finanzas y/o cooperación internacional y/o gestión ambiental y/o desarrollo sostenible, con </t>
    </r>
    <r>
      <rPr>
        <b/>
        <sz val="11"/>
        <color theme="1"/>
        <rFont val="Calibri"/>
        <family val="2"/>
        <scheme val="minor"/>
      </rPr>
      <t>3 años</t>
    </r>
    <r>
      <rPr>
        <sz val="11"/>
        <color theme="1"/>
        <rFont val="Calibri"/>
        <family val="2"/>
        <scheme val="minor"/>
      </rPr>
      <t xml:space="preserve"> de experiencia profesional certificada en </t>
    </r>
    <r>
      <rPr>
        <b/>
        <sz val="11"/>
        <color theme="1"/>
        <rFont val="Calibri"/>
        <family val="2"/>
        <scheme val="minor"/>
      </rPr>
      <t>gestión del cambio climático y/o diseño y/o aplicación de mecanismos de participación del sector privado en esquemas de financiamiento internacional o nacional.</t>
    </r>
  </si>
  <si>
    <r>
      <t xml:space="preserve">Un profesional en administración, ingeniería, ciencias sociales, ciencias ambientales y/o afines con título de posgrado en áreas relacionadas con finanzas y/o sostenibilidad y/o gestión ambiental y/o desarrollo sostenible, con </t>
    </r>
    <r>
      <rPr>
        <b/>
        <sz val="11"/>
        <color theme="1"/>
        <rFont val="Calibri"/>
        <family val="2"/>
        <scheme val="minor"/>
      </rPr>
      <t>3 años</t>
    </r>
    <r>
      <rPr>
        <sz val="11"/>
        <color theme="1"/>
        <rFont val="Calibri"/>
        <family val="2"/>
        <scheme val="minor"/>
      </rPr>
      <t xml:space="preserve"> de experiencia certificada en </t>
    </r>
    <r>
      <rPr>
        <b/>
        <sz val="11"/>
        <color theme="1"/>
        <rFont val="Calibri"/>
        <family val="2"/>
        <scheme val="minor"/>
      </rPr>
      <t>sostenibilidad empresarial.</t>
    </r>
  </si>
  <si>
    <r>
      <t xml:space="preserve">Un profesional en administración, ingeniería y/o ciencias sociales, que tenga el </t>
    </r>
    <r>
      <rPr>
        <b/>
        <sz val="11"/>
        <color theme="1"/>
        <rFont val="Calibri"/>
        <family val="2"/>
        <scheme val="minor"/>
      </rPr>
      <t>rol de facilitador</t>
    </r>
    <r>
      <rPr>
        <sz val="11"/>
        <color theme="1"/>
        <rFont val="Calibri"/>
        <family val="2"/>
        <scheme val="minor"/>
      </rPr>
      <t xml:space="preserve"> con al menos </t>
    </r>
    <r>
      <rPr>
        <b/>
        <sz val="11"/>
        <color theme="1"/>
        <rFont val="Calibri"/>
        <family val="2"/>
        <scheme val="minor"/>
      </rPr>
      <t>3 años</t>
    </r>
    <r>
      <rPr>
        <sz val="11"/>
        <color theme="1"/>
        <rFont val="Calibri"/>
        <family val="2"/>
        <scheme val="minor"/>
      </rPr>
      <t xml:space="preserve"> de experiencia certificada en procesos de diseño e implementación de metodologías para la construcción colectiva y facilitación de espacios virtuales.</t>
    </r>
  </si>
  <si>
    <r>
      <rPr>
        <b/>
        <sz val="11"/>
        <color theme="1"/>
        <rFont val="Calibri"/>
        <family val="2"/>
        <scheme val="minor"/>
      </rPr>
      <t>Un diseñador audiovisual</t>
    </r>
    <r>
      <rPr>
        <sz val="11"/>
        <color theme="1"/>
        <rFont val="Calibri"/>
        <family val="2"/>
        <scheme val="minor"/>
      </rPr>
      <t xml:space="preserve">, comunicador audiovisual o comunicador social con mínimo </t>
    </r>
    <r>
      <rPr>
        <b/>
        <sz val="11"/>
        <color theme="1"/>
        <rFont val="Calibri"/>
        <family val="2"/>
        <scheme val="minor"/>
      </rPr>
      <t>dos (2) años</t>
    </r>
    <r>
      <rPr>
        <sz val="11"/>
        <color theme="1"/>
        <rFont val="Calibri"/>
        <family val="2"/>
        <scheme val="minor"/>
      </rPr>
      <t xml:space="preserve"> de experiencia y dos (2) videos animados desarrollados.</t>
    </r>
  </si>
  <si>
    <t>* Tïtulo pregrado.
* Título posgrado.
* Certificado laboral de experiencia, fecha de inicio, fecha final, actividades / funciones.
* Duración total.</t>
  </si>
  <si>
    <t>Experiencia temática en: cambio climático/ financiamiento climático/ sector privado/ pymes y/o encadenamientos productivos/ procesos participativos/ moderar-facilitar eventos / diseño de audiovisuales</t>
  </si>
  <si>
    <t>Ítem</t>
  </si>
  <si>
    <t>Profesional 1</t>
  </si>
  <si>
    <t>Puntaje_P1</t>
  </si>
  <si>
    <t>Profesional 2</t>
  </si>
  <si>
    <t>Puntaje_P2</t>
  </si>
  <si>
    <t>Profesional 3</t>
  </si>
  <si>
    <t xml:space="preserve">Habilita </t>
  </si>
  <si>
    <t>Profesional 4</t>
  </si>
  <si>
    <t>Título pregrado</t>
  </si>
  <si>
    <t>No se incluye</t>
  </si>
  <si>
    <t>Diseño</t>
  </si>
  <si>
    <t>Ingeniero de Sonido con énfasis en Producción de Audio y Diseño
Sonoro</t>
  </si>
  <si>
    <t xml:space="preserve">No incluyen soportes de hojas de vida </t>
  </si>
  <si>
    <t>Título posgrado</t>
  </si>
  <si>
    <t>Maestria en políticas públicas/ Especialista en evaluación social de proyectos</t>
  </si>
  <si>
    <t>Experiencia [años]</t>
  </si>
  <si>
    <t>Experiencia</t>
  </si>
  <si>
    <t>Actividad / Función</t>
  </si>
  <si>
    <t>Fecha_Inicio</t>
  </si>
  <si>
    <t>Fecha_Final</t>
  </si>
  <si>
    <t>Carlos José Celis</t>
  </si>
  <si>
    <t>Entrega CV sin soportes de experiencia</t>
  </si>
  <si>
    <t>Juan Guillermo López</t>
  </si>
  <si>
    <t>Entrega CV sin soportes   de experiencia</t>
  </si>
  <si>
    <t>Habilita2</t>
  </si>
  <si>
    <t>Ingeniero Ambiental</t>
  </si>
  <si>
    <t>Ecóloga</t>
  </si>
  <si>
    <t>Administradora de Empresas</t>
  </si>
  <si>
    <t>Diseño Gráfico</t>
  </si>
  <si>
    <t>Diploma Pregrado</t>
  </si>
  <si>
    <t>Magister Gestión Ambiental</t>
  </si>
  <si>
    <t>Especilista en Cooperación Descentralizada para el Desarrollo
MSc. Manejo Ambiental
MSc. Desarrollo Económico Local</t>
  </si>
  <si>
    <t>Magister en Ciencias Sociales</t>
  </si>
  <si>
    <t>Especialista en Gerencia Estratégica del Diseño</t>
  </si>
  <si>
    <t>Diploma Posgrado</t>
  </si>
  <si>
    <t>Javier Franco Caicedo</t>
  </si>
  <si>
    <t>DIDACSIS. Director de Proyectos de Educación Virtual  (E-learning). Funciones: Dirigir la planificación y la ejecución de proyectos de formación, especialmente en el área de educación ambiental. Realizar el diseño conceptual de acciones de formación para atender las necesidades formativas específicas de los clientes. Coordinar el proceso de elaboración de guiones pedagógicos para la construcción de cursos virtuales (E-Learning). Supervisar las actividades de desarrollo del contenido multimedia para los cursos virtuales. Construir contenidos educativos sobre temáticas de gestión ambiental que sean de interés para clientes potenciales. Elaborar propuestas técnico-económicas para el desarrollo de proyectos formativos.</t>
  </si>
  <si>
    <t>ECONAT. Cargo coordinador técnico de proyectos . Funciones: coordinar proyectos de consultoría ambiental y económica que ejecuta la empresa. Coordinar los procesos de evaluación de planes de negocio para Fondoemprender. Apoyar gestión comercial de la empresa</t>
  </si>
  <si>
    <t>ECONAT. Prestó sus servicios profesionales como tutor virtual: nociones básicas en gestión integral de la biodiversidad</t>
  </si>
  <si>
    <t xml:space="preserve">INGEPROL. Cargo de profesional ambiental de proyectos . Logros: diseño e implementación de sistemas de gestión ambiental </t>
  </si>
  <si>
    <t xml:space="preserve">SGS. Cargo de ejecutivo comercial ambiental. Funciones: realizar planificación de consultoría ambiental. Brindar asistencia técnica y legal a clientes. Asistir la coordinación de consultorias ambientales. </t>
  </si>
  <si>
    <t>Laura Escobar Acosta</t>
  </si>
  <si>
    <t xml:space="preserve">Apoyo a la cosntitución de la Fundación AquaPáramo y desempeñó el cargo de gerente de comunicaciones </t>
  </si>
  <si>
    <t>Servicios Profesionales mediante contrato FAO. Responsabilidades: Asistencia en la formulación del Plan Integral de Cambio Climático de Antioquia PICCA, en convenio con la Gobernación de Antioquia. Desarrollo de diseño en la estrategia, instrumentalización y seguimiento del PICCA.  Coordinación técnica del equipo de información en la formulación del Plan Integral de Cambio Climático para el Departamento de Antioquia PICCA</t>
  </si>
  <si>
    <t xml:space="preserve">METI. Asesor Técnico Analista de Adaptación al Cambio Climático. Analista de Adaptación al Cambio Climático. </t>
  </si>
  <si>
    <t xml:space="preserve">Olgoonik Federal. Cargo de analista de adaptación al cambio climático </t>
  </si>
  <si>
    <t>GGGI. vinculada como Regional Associate Antioquia al Instituto Global para el Crecimiento Verde (GGGI por sus siglas en inglés). Responsable de brindar asesoramiento técnico a las contrapartes subnacionales relevantes en el Departamento de Antioquia en oportunidades de crecimiento verde  Apoyar y emprender los tres objetivos principales del programa subregional: (i) diseñar e implementar una herramienta de evaluación de crecimiento verde a nivel subnacional, (ii) estructurar un proyecto relacionado con el paisaje sostenible y el crecimiento verde, (iii) fortalecer capacidades locales para el crecimiento verde de los diferentes actores de la región.  Representar al GGGI y su trabajo en el departamento de Antioquia.</t>
  </si>
  <si>
    <t>Artesanias de Colombia. Objeto de contrato, coordinar actividades para el buen funcionamiento y mejoramiento del Laboratorio Artesanias de Colombia y coordinar los eventos comerciales en la Región Caribe.</t>
  </si>
  <si>
    <t>DIDACSIS. Cargo, profesional especializado en cambio climático, participó en la elaboración de
contenidos del proyecto de "diseño y puesta en marcha de un curso MOOC - Massive Online Open
Course - en estructuración de proyectos y en financiamiento climático, bajo plataforma MOODLE;
con destino al Departamento Nacional de Planeación - DNP en ef desempeño de sus actividades
como Autoridad Nacional Designada ante el Fondo Verde del Clima en el marco.de la ejecución del
Grant Agreement firmado entre el FVC y APC", bajo la modalidad de Prestación de Servicios.</t>
  </si>
  <si>
    <t>Jenny Melo</t>
  </si>
  <si>
    <t>Profesional Misional Especializada Metodóloga. Servicios profesionales mediante contrato FAO</t>
  </si>
  <si>
    <t xml:space="preserve">Consultora externa. Elabiración estado del arte en negocios inclusivos en el sector agroalimentario </t>
  </si>
  <si>
    <t>Consultora externa. Acompañamiento del proceso de sistematizacion de 3 casos de aplicación de la metodologia LINK</t>
  </si>
  <si>
    <t xml:space="preserve">Consultora externa. Acompañamiento del proceso de diseño y puesta en marcha de taller de escritura de casos de aplicación metodologia LINK </t>
  </si>
  <si>
    <t>Consultora externa. Revisión y analisis crítico y propositivo de la Metodologia LINK</t>
  </si>
  <si>
    <t>Cooridnacion de Oportunidades. Cooridnacion de Oportunidades de negocios con impacto social</t>
  </si>
  <si>
    <t>Editor of Next Billion en Español NBE. Editor of Next Billion en Español NBE</t>
  </si>
  <si>
    <t>David Robayo Castañeda</t>
  </si>
  <si>
    <t xml:space="preserve">Diseñador </t>
  </si>
  <si>
    <t>Ecólogo</t>
  </si>
  <si>
    <t>Ingeniero Químico</t>
  </si>
  <si>
    <t>Ingenira de Sistemas</t>
  </si>
  <si>
    <t>Ingeniero en Multimedia</t>
  </si>
  <si>
    <t>Especialización en Gestión en Cooperación Internacional/ Mágister en Calidad Ambiental</t>
  </si>
  <si>
    <t>Magíster en Gerencia Ambiental</t>
  </si>
  <si>
    <t>Especialista en Gerencia de Proyectos</t>
  </si>
  <si>
    <t>Especialista en Animación</t>
  </si>
  <si>
    <t>Certificaciones - Contratos</t>
  </si>
  <si>
    <t>Eduardo Villegas Flórez</t>
  </si>
  <si>
    <t>Responsable de la construcción, implementación y seguimiento a la estrategia de reciclaje inclusivo en Colombia. Desarrollo y puesta en marcha de la oportunidad de industrias extractivas y energía en América Latina. Líder en Colombia en la implementación, monitoreo y evaluación de la oportunidad de cambio climático y apoyo a la estrategia de conservación del bioma amazónico en los países de la cuenca.
Logros:
▪ Apoyo a la inclusión del reciclador de oficio en Colombia como parte de la cadena de prestación del servicio público de aseo.
▪ Fortalecimiento en América Latina redes de trabajo enfocadas a temas ambientales, sociales y académicos, como ARA, RAISG, mesa REDD Colombia y REDLACRE.
▪ Lideró la implementación de la Mesa de Diálogo Permanente y el Grupo de Dialogo Latinoamericano en temas relacionados a minería, medio ambiente y desarrollo territorial con énfasis en el bienestar de las comunidades.
▪ Participaciones internacionales en las Convenciones Anuales de cambio climático de las UN (Cancún, Rio +20, Durban)</t>
  </si>
  <si>
    <t>Jhon Fredy Arias Duque</t>
  </si>
  <si>
    <t>Consultor en el programa Consultandes de la Universidad de los Andes. Los proyectos se relacionaban con los siguientes temas: la estrategia ambiental corporativa; la estrategia empresarial; el mercadeo estratégico; el mercadeo verde; la mejora continua; el diseño de modelos de negocio y propuestas de valor; la responsabilidad social corporativa; la producción más limpia y los negocios sostenibles. Las consultorias desarrolladas fueron:          - Estructura organizacional para mejorar la productividad de Pet Shop Amigo Fiel. - Incremento de productividad en Mercol. -Diseñar una estrategia de planeación costos y precios involucrando a toda la cadena productiva, para mejorar la rentabilidad de Espalsa S.A.S. - Crear una estrategia comercial para potencializar las ventas del tofu en los canales de distribución existentes en Bogotá. - Diseñar una estrategia de mercadeo estratégico que impacte positivamente las ventas, que se pueda replicar y que sea enfocada en los clientes corporativos. Todo, para lograr un posicionamiento y una diferenciación importante, que además permita comunicar
efectivamente la propuesta de valor de Knight. - Desarrollar una estructura organizacional que mejore la eficiencia de los cargos y la comunican entre las distintas áreas del negocio. - Diseñar el plan estratégico 2017-2025 que permita a la compañía identificar y explotar las oportunidades del mercado tanto nacional como internacional para tener una solidez financiera y operativa, y así aumentar progresivamente el valor de los accionistas. - Diseñar un plan de mercadeo estratégico encaminado a posicionar a la empresa, con el fin de incrementar ventas de manera sostenible en el tiempo. - Diseñar un plan estratégico que defina una propuesta
de valor clara y diferenciadora para la Clínica Basilia
que mejore su liquidez en el mediano y largo plazo en
la ciudad de Cali. - Diseñar una estrategia de mercadeo para disminuir la resistencia a la compra e incrementar las ventas de Inverthere S.A.S. en Bogotá. - Contribuir a la reducción de las barreras del proceso de compra de materiales elaborados a partir de Residuos de Construcción y Demolición (RCD´s), disminuyendo el ciclo de retorno de la inversión inicial de Reciclados Industriales. - Estructurar las bases del modelo operacional de ELF de tal forma que sean competitivos en el mercado de tierras con aptitud forestal a nivel nacional. - Construir un modelo de gestión para que la Empresa ECOLOGIC S.A.S.-CO2CERO® preste el servicio de implementación de Compensaciones por pérdida de Biodiversidad a las empresas (clientes) que tienen aprobado un plan de compensaciones por la autoridad ambiental. - Estructuración de procesos operativos para mejorar la productividad. - Diseñar una estrategia para fortalecer el posicionamiento de Basura Colombia, con los segmentos de mayor potencial en el mercado de los residuos.</t>
  </si>
  <si>
    <t>prestó sus servicios profesionales a la Fundación Ekosocial en las siguientes acciones: a) Identificar los actores relacionados con la fabricación, distribución,
comercialización y consumidores más frecuentes de plaguicidas de uso agropecuario, a fin de aunar esfuerzos para la recolección de empaques en
municipios de las cuencas de los ríos Chinchiná, Guarinó, aferentes directos al río Cauca.
b) Aplicar una estrategia de difusión y promoción del 'Plan de gestión devolución posconsumo de plaguicidas' mediante distribución de piezas comunicativas,
plegable, programadas radiales, reuniones de socialización del objeto del contrato en los municipios seleccionados.
c) Realizar una reunión en los 9 municipios seleccionados, donde se cuente con la participación de las autoridades locales, distribuidores mayoritarios de
plaguicidas, cultivadores de plátano y banano; al igual que organizaciones de productores agropecuarios para coordinar acciones conjuntas.
d) Apoyar la realización de 6 jornadas de recolección de empaques de plaguicidas y bolsas plásticas utilizadas en el cultivo de plátano y banano, en coordinación
con las alcaldías municipales, empresas y productores agropecuarios de los municipios seleccionados.</t>
  </si>
  <si>
    <t xml:space="preserve">Docente en la Universidad de los Andes en los cargos: asistente académico en el curso Estrategia Ambiental Corporativa en la Maestría de Gerencia Ambiental en la Facultad de Administración </t>
  </si>
  <si>
    <t>Prestación de servicios en participación y ejecución de actividades de apoyo académico en el curso de Desarrollo Sostenible</t>
  </si>
  <si>
    <t>Blanca Marcela Palomino Buitrago</t>
  </si>
  <si>
    <t>Learning SAS. Gerente de Proyectos Digitales Tecnología y Formación SAS, Octubre de 2018 – Actualmente. Funciones: •Realizar la planeación estratégica de proyectos de creación de contenidos Digitales.
• Realizar la administración de los recursos financieros en los proyectos asignados.
• Liderar equipos de diseño y construcción de contenidos de aprendizaje en todas sus etapas.
• Liderar proyectos de administración de plataforma LMS y de desarrollo de Software para los distintos clientes.
• Coordinar el esquema de mesa de ayuda para asegurar la disponibilidad y el funcionamiento correcto de las plataformas LMS.
• Estructuración de licitaciones públicas, propuestas y cierres comerciales. Estableciendo alcances, entregables, cronogramas y recursos asociados.</t>
  </si>
  <si>
    <t>Politecnico Grancolombiano. Prestar los servicios para realizar la dirección de proyecto de los cursos e-learning en el proyecto de la fuerza áerea colombiana. Obligaciones: •	Liderar, evaluar y dar seguimiento a las actividades relacionadas con el diseño y desarrollo e implementación de objetos virtuales de aprendizaje (OVA) para la enseñanza de inglés de la escuela de posgrados de la Fuerza Aérea Colombiana.
• Liderar, evaluar y dar seguimiento a las actividades relacionadas con el diseño y desarrollo e implementación de objetos virtuales de aprendizaje (ova) para la enseñanza de inglés de la escuela de posgrados de la Fuerza Áerea Colombiana, dirigida a población de 8000 participantes. • Consolidar el equipo de trabajo para las actividades de diseño pedagógico, diseño gráfico, desarrollo de software y calidad. • Articular los procesos de comunicación, seguimiento y toma de decisiones con el cliente</t>
  </si>
  <si>
    <t>Telefonica. Desempeñó el cargo de Lider de Proyectos, con las siguientes funciones: • Consolidar el equipo de trabajo a cargo de la ejecución de los proyectos para las disciplinas de construcción de contenidos, diseño gráfico, tutorías y dinamización.
• Administración de indicadores de gestión del presupuesto, seguimiento a las contrataciones y la ejecución oportuna de los planes de trabajo asociados a cada proyecto. Liderar la trasformación de cursos en modalidad presencial a virtual y ejecución de la oferta de formación virtual para la Cámara de Comercio de Bogotá.
• Liderar y hacer seguimiento al desempeño de los coordinadores de tutores y de contenido, expertos temáticos y dinamizadores.
• Hacer revisión y seguimiento a indicadores claves de la gestión académica y diseñar e implementar estrategias que permitan el mejoramiento continuo.
• Gestionar el desarrollo de cursos virtuales para diferentes clientes nacionales y extranjeros (Cámara de Comercio de Bogotá, Avianca, Telefónica México, Telefónica Colombia, Proeza, Centro de Innovación, Salauno, entre otros).
• Apoyo en la estructuración de propuestas comerciales y licitaciones, estableciendo alcances, entregables, cronogramas y recursos asociados.
• Articular los procesos de comunicación, seguimiento y toma de decisiones entre Telefónica Learning Services y sus clientes.</t>
  </si>
  <si>
    <t>Telefónica. Desempeño el cargo de Gestor de proyectos, con las siguientes funciones: Liderar la construcción de virtuales responsive y coordinar la ejecución de la oferta de formación virtual para la Cámara de Comercio de Bogotá.
• Planeación y desarrollo de webinars enfocados a la actualización de temas de los principales sectores económicos de Bogotá
• Velar por la ejecución financiera del proyecto de acuerdo al presupuesto asignado.
• Hacer seguimiento a la planeación e implementación de la Comunidad virtual para empresarios y emprendedores.
• Participar y liderar en el desarrollo del Modelo pedagógico y de mejora para los procesos de formación virtual en la CCB.
• Velar por el cumplimiento de indicadores mensuales en la oferta de formación.
• Liderar y hacer seguimiento al desempeño de coordinador de tutores, expertos temáticos y dinamizadores que acompañaban a los participantes en los cursos virtuales.
• Articular los procesos de comunicación, seguimiento y toma de decisiones entre Telefónica Learning Services y la CCB.
• Consolidar el equipo de trabajo a cargo de la ejecución de los proyectos para las disciplinas de construcción de contenidos, diseño gráfico, tutorías y dinamización.
• Apoyo en la estructuración de propuestas comerciales y licitaciones, estableciendo alcances, entregables, cronogramas y recursos asociados.</t>
  </si>
  <si>
    <t>Coordinadora de Estrategias E-Learning mediante contrato de prestación de servicios profesiones</t>
  </si>
  <si>
    <t>Johan Sebastián Mayorga Sánchez</t>
  </si>
  <si>
    <t xml:space="preserve">Cargo Front End Development. Funciones: Implementación del diseño gráfico en lenguajes de desarrollo web, participar en las fases del ciclo de vida del desarrollo de los proyectos, incluidas lainvestigación, la creación de prototipos, desarrollo, documentación técnica,entre otros. </t>
  </si>
  <si>
    <t>Cargo de diseñador Web, desarrollador de aplicaciones, creativo y editor audiovisual.</t>
  </si>
  <si>
    <t>Gestor de comunicaciones del departamento de Ingenieria Industrial</t>
  </si>
  <si>
    <t>Licenciada en Biología</t>
  </si>
  <si>
    <t>Ingeniero Industrial</t>
  </si>
  <si>
    <t>Licenciada en Electrónica</t>
  </si>
  <si>
    <t>Diseñador de la Comunicación Gráfica</t>
  </si>
  <si>
    <t>Magíster en Desarrollo Sustentable y Gestión Ambiental</t>
  </si>
  <si>
    <t>Magister en desarrollo Educativo y Social</t>
  </si>
  <si>
    <t>Magíster en Semiótica</t>
  </si>
  <si>
    <t>No incluye certificación de videos</t>
  </si>
  <si>
    <t>Yenni Marcela Rosas</t>
  </si>
  <si>
    <t xml:space="preserve">Docente tiempo completo Colegio Cardenal Sancha en el área de Ciencias Naturales </t>
  </si>
  <si>
    <t>Jardin Botánico de Bogotá. Prestar los servicios profesionales para desarrollar las actividades establecidas en el marco del convenio educacion ambiental para Ia ciudadanía y Ia convivencia: transformando realidades ambientales desde Ia escuela, suscrito con Ia SED.</t>
  </si>
  <si>
    <t>Jardin Botánico José Celestino Mutis. Objeto del contrato: formulación, implementación, seguimiento y evaluación de la propuesta de transversalización de la dimensión ambiental en la educación formal de jornada escolar. Evaluación de la propuesta del centro de interés en jornada 40x40 y de colegios mas verdes. Implementación de los componentes de la línea de inclusión de la dimensión ambiental en el marco del proyecto de Educación Ambiental y Participación.</t>
  </si>
  <si>
    <t>Hugo Andrés Castillo</t>
  </si>
  <si>
    <t>MINCIT. Cargo: Asesor de innovación y economía naranja Viceministerio de Desarrollo Empresarial
Descripción: Apoyar el proceso de acercamiento y articulación con actores CTeI para el desarrollo de los sectores con potencial creativo y cultural. Soportar técnicamente el diseño de políticas, estrategias, programas e instrumentos que promuevan el emprendimiento y los encadenamientos productivos. Acompañar el desarrollo de eventos y espacios de interacción con actores involucrados en el desarrollo de sectores con potencial en las regiones, Apoyar la definición de mecanismos de medición y seguimiento a las estrategias de apoyo sectorial para la economía naranja.</t>
  </si>
  <si>
    <t>IDOM Consulting
Cargo: Consultor de Innovación y Sostenibilidad
Descripción: Acompañar a clústers y a organizaciones públicas y privadas a diseñar e implementar programas y proyectos de innovación y competitividad y consolidación ecosistemas de innovación territorial. Proyectos:
-Distrito de Ciencia Tecnología e Innovación de Bogotá. Creación portafolio de servicios del Distrito y articulación con Áreas Distritales Naranja (ADN) de la ciudad. Cliente: Cámara de Comercio de Bogotá
-Programa de Cultura de Innovación. Cliente RTVC Sistema de medios públicos
-Programa de sofisticación e internacionalización de Clúster. Green Building Solutions. Cliente: Clúster de Obra blanca, Cámara de Comercio de Barranquilla
- Programa de Compras Privadas de Innovación, proyecto multiempresa. Cliente: Corporación Ruta N Medellín.</t>
  </si>
  <si>
    <t>Fundación ciudad sostenible. Formulación y gestión de proyectos productivos con comunidades objetivo de la fundación (rurales, neo-rurales y urbanas) en Cundinamarca, Santander y Boyacá; y ha trabajado en procesos de planeación territorial rural y formulación de modelos de negocio con diferentes comunidades campesinas y grupo de mujeres rurales en pro de la conservación del territorio e identidad cultural.</t>
  </si>
  <si>
    <t>Docente de posgrado de la materia: Electiva de enfasis Gerencia 2</t>
  </si>
  <si>
    <t>Cámara de Comercio de Bogotá. Cargo desempeñado: analista III, en el área de Innovación. Contrato a Término Fijo. Funciones: Realizar la convocatoria y la logística de selección y organización de empresas y actividades de prestación de servicios dirigidos a las empresas que participan en el programa Bogotá Innova, para apoyar la gestión del área. Realizar y ejecutar las actividades derivadas de convenios y acuerdos interinstitucionales para asegurar que dichos convenios apoyen la estrategia de innovación empresarial de la CCB.
Generar información y preparar informes de gestión y ejecución presupuestal del área y de los proyectos que tiene a su cargo Bogotá Innova; la articulación operativa entre las coordinaciones y las distintas áreas de la Vicepresidencia de Fortalecimiento Empresariales para contribuir al cumplimiento y la gestión del área.</t>
  </si>
  <si>
    <t xml:space="preserve">Cafam (Caja de Compensación familiar)
Cargo: Analista de Innovación - Administrador sistemas de información Descripción: Desarrollar proyectos de innovación para las líneas de negocio de la organización, con el fin de mejorar servicios y cobertura a población afiliada. </t>
  </si>
  <si>
    <t>Fundación Creciendo Unidos. Coordinador de proyectos productivos e innovación social. Descripción: Realizar la planeación, formulación y ejecución de proyectos de intervención social con poblaciones vulnerables. Elaborar e implementar el plan de innovación social de la organización. Desarrollo de estudios socio económicos de poblaciones enfocadas. Desarrollo y facilitación de módulos y cátedras de emprendimiento e innovación social y productiva para la superación de la pobreza extrema; Generación de planes de monitoreo y seguimiento en las ciudades de Bogotá y Cúcuta. Presentación de resultados a entes de cooperación internacional.</t>
  </si>
  <si>
    <t>Contacto Basico. Cargo de Jefe de Proyectos de Responsabilidad Social Empresarial en la ciudad de Bogotá, para ejecutar un proyecto-convenio de cooperación con United Nations Office on Drugs and Crime (UNODC), Ministerio del interior y la Policía Nacional de Infancia y adolescencia en las ciudades de Montería, Cartagena y Valledupar.</t>
  </si>
  <si>
    <t>Deissy Mora</t>
  </si>
  <si>
    <t>Coordinadora del programa medio tiempo (TLG Electrónica)</t>
  </si>
  <si>
    <t>Disruptive Innovations. cargo de
Gerente de Producción de Contenido</t>
  </si>
  <si>
    <t>Universidad ECCI. Docentre hora cátedra y asesor educativo virtual</t>
  </si>
  <si>
    <t>Daniel Duran</t>
  </si>
  <si>
    <t>Disruptive Innovations. Coordinador de creación de contenido pedagógico (Planeación diseño y producción de elementos audiovisuales)</t>
  </si>
  <si>
    <t>Economista</t>
  </si>
  <si>
    <t>Administrador publico</t>
  </si>
  <si>
    <t>Ingeniero Quimico</t>
  </si>
  <si>
    <t>Comunicador Social</t>
  </si>
  <si>
    <t>Magister en Economista</t>
  </si>
  <si>
    <t>Especialista en analisis de polÍticas públicas</t>
  </si>
  <si>
    <t xml:space="preserve">Fabiola Suárez Sanz </t>
  </si>
  <si>
    <t>Directora del programa INTERPYME, Directora de la asesoría del Cluster de Ecoeficiencia en 9 países latinoamericanos para el BID-FOMIN. Asesorar el programa Mejoramiento y adaptación tecnológica de las condiciones técnicas ambientales y de eficiencia de los hornos de coquizacion tipo colmena ausoiciado por COLCIENCIAS</t>
  </si>
  <si>
    <t>Martha Carrillo</t>
  </si>
  <si>
    <t>Orientar, diseñar y desarrollar actividades relacionadas con los programas y metodologías de educación, capacitación y formación en el tema de Medio Ambiente para la comunidad beneficiaria de la acción de la Cooperación y para los funcionarios de la misma, en conjunto con las entidades de la Región</t>
  </si>
  <si>
    <t>Fabián Rodriguez</t>
  </si>
  <si>
    <t xml:space="preserve">Coordinación y Dirección Técnica, Financiera y Logística del proyecto Mejoramiento de las Condiciones de Producción de Carbón vegetal en Colombia, con el auspicio de Colciencias </t>
  </si>
  <si>
    <t>Diana Velasquez</t>
  </si>
  <si>
    <t xml:space="preserve"> Prestación de servicios de apoyo a la gestión en las actividades que conlleven al cumplimiento de la implementación de la estrategia de Gobierno en Línea de acuerdo al Decreto 2573 de 2014, asociándolos en
los diferentes portales de la entidad como son: Portal Principal, Escuela de Formación Virtual, Portal Infantil, Mini-sitios y los demás a que haya lugar</t>
  </si>
  <si>
    <t>Prestación de servicio de apoyo a la gestión con autonomía propia como WEBMaster para el Ministerio de Ambiente y Desarrollo Sostenible, para actualizar, administrar y mejorar el diseño modulos de la información del portal, subportal, la intranet, publicaciones, Aulas virtuales y el portal del Ministerio de Ambiente y Desarrollo Sostenible.</t>
  </si>
  <si>
    <t>Apoyar el soporte, la integración, actualización, ajuste, monitoreo y cargue en portales, publicaciones, aulas virtuales y el portal de niños y los sitemas de información de la entidad tanto de software como Hardware.</t>
  </si>
  <si>
    <t>Propuesta técnica para cada tipo de espacio virtual mencionado en la sección “actividades y entregables” de estos términos de referencia (a, b, c y d)</t>
  </si>
  <si>
    <t>Diseño y construcción (incluye contenidos y piezas gráficas y audiovisuales) </t>
  </si>
  <si>
    <t>Objetivos/ actividades/ herramientas/ recursos requeridos que incluyen plataformas digitales/ descripción de fases o etapas/  sistematización</t>
  </si>
  <si>
    <t>• Desarrollo e implementación (incluye facilitación y registro de la información) </t>
  </si>
  <si>
    <t>• Sistematización, análisis y presentación de resultados. </t>
  </si>
  <si>
    <t>Propuesta Técnica</t>
  </si>
  <si>
    <t>a) Nueve (9) espacios virtuales con enfoque regional</t>
  </si>
  <si>
    <t>b) Un (1) espacio virtual sectorial inicial</t>
  </si>
  <si>
    <t>c) Seis (6) espacios virtuales individuales con sectores </t>
  </si>
  <si>
    <t>d) Un (1) espacio virtual sectorial final </t>
  </si>
  <si>
    <t>Háptica</t>
  </si>
  <si>
    <t xml:space="preserve">Cumple </t>
  </si>
  <si>
    <t>Desarrollo e implementación (incluye facilitación y registro de la información) </t>
  </si>
  <si>
    <t xml:space="preserve">cumple </t>
  </si>
  <si>
    <t>Sistematización, análisis y presentación de resultados. </t>
  </si>
  <si>
    <t xml:space="preserve">Didacsis </t>
  </si>
  <si>
    <t>No Cumple</t>
  </si>
  <si>
    <t>En el marco del convenio se desarrolló una herramienta virtual diseñada implementada para la aplicación de los contenidos desarrollados</t>
  </si>
  <si>
    <t>En el marco del convenio se desarrolló un diplomado virtual en gestión del riesgo ambiental dirigido empresarios y funcionarios de la CAR</t>
  </si>
  <si>
    <t xml:space="preserve">Convenio 1427/2017 y acta de liquidación </t>
  </si>
  <si>
    <t xml:space="preserve"> </t>
  </si>
  <si>
    <t xml:space="preserve">Equipo Trabajo </t>
  </si>
  <si>
    <t>No cumple</t>
  </si>
  <si>
    <t>La propuesta es clara, indican lo solicitado en los TDRs</t>
  </si>
  <si>
    <t xml:space="preserve">Parque Nacionales. Apoyo a la dirección general de UAESPNN en actividades relacionadas con el tema de proyectos de cooperación, formulación, gestión y seguimiento de proyectos </t>
  </si>
  <si>
    <t>Parque Nacionales. Estrategia para la consolidación y fortalecimiento de PNN</t>
  </si>
  <si>
    <t>Jardin Botánico. Estructurar plan de investigación científica, coordinar desarrollo de proyectos de la subdirección científica, proponer criterios que sirvan a la definición de políticas ambientales, de conservación y políticas a nivel distrital y regional</t>
  </si>
  <si>
    <t>Actividades de apoyo académico de materiales en taller de negociaciones y resolución de conflictos</t>
  </si>
  <si>
    <t>Parques Naturales de Colombia. Apoyo estrategia de sostenibilidad financiera proyectos de cooperación</t>
  </si>
  <si>
    <t>Instituto Humbolt</t>
  </si>
  <si>
    <t>No se tuvo en cuenta toda vez que el acta de liquidación que se aporta no tiene firma de la supervisión</t>
  </si>
  <si>
    <t>Columna1</t>
  </si>
  <si>
    <t>Carlos Octavio Duque</t>
  </si>
  <si>
    <t>Conectiva Network. Director proyectos de licitación</t>
  </si>
  <si>
    <t>No se tuv en ceunta prque no es experiecia relacioanda</t>
  </si>
  <si>
    <t>No se tuvo en cuenta porque está certificando una empresa diferente</t>
  </si>
  <si>
    <t>Finart Bijouteria</t>
  </si>
  <si>
    <t>Dentro d este tiempo se tiene en cuenta la certificación de actividades de desarrollo sostenible (09/06/2014-21/06/2014)</t>
  </si>
  <si>
    <t>Empocaldas . Pasante</t>
  </si>
  <si>
    <t>No se tiene en cuenta por la calidad de pasante universitario y porque no se describen las funciones que desempeñaba</t>
  </si>
  <si>
    <t>Fundación Plan. Sistematización d proceso de cambio institucional</t>
  </si>
  <si>
    <t>No se tiene en cuenta las certifiaciones de Asocar, Universidad Central, Universidad de Los Andes (profesor cátedra y asistente académico) porque se traslapan en tiempo con esta certificación, por lo tanto sólo se tiene en cuenta la de Universidad de los Andes</t>
  </si>
  <si>
    <t>Se traslapara el tiempo de experiencia con la certificación de la Universidad de los Andes</t>
  </si>
  <si>
    <t>ECONAT. Coordinador de evaluación planes de negocio FONADE</t>
  </si>
  <si>
    <t>No se tiene en cuenta porque se traslapa en tiempo con la certificación anterior</t>
  </si>
  <si>
    <t>Volunteer Colombia. Administradora de proyectos loales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</si>
</sst>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41" formatCode="_-* #,##0_-;\-* #,##0_-;_-* &quot;-&quot;_-;_-@_-"/>
    <numFmt numFmtId="43" formatCode="_-* #,##0.00_-;\-* #,##0.00_-;_-* &quot;-&quot;??_-;_-@_-"/>
    <numFmt numFmtId="164" formatCode="_-&quot;$&quot;\ * #,##0_-;\-&quot;$&quot;\ * #,##0_-;_-&quot;$&quot;\ * &quot;-&quot;_-;_-@_-"/>
    <numFmt numFmtId="165" formatCode="_(&quot;$&quot;\ * #,##0.00_);_(&quot;$&quot;\ * \(#,##0.00\);_(&quot;$&quot;\ * &quot;-&quot;??_);_(@_)"/>
    <numFmt numFmtId="166" formatCode="_-* #,##0.0_-;\-* #,##0.0_-;_-* &quot;-&quot;_-;_-@_-"/>
    <numFmt numFmtId="167" formatCode="_-* #,##0.00_-;\-* #,##0.00_-;_-* &quot;-&quot;_-;_-@_-"/>
    <numFmt numFmtId="168" formatCode="0.0"/>
  </numFmts>
  <fonts count="13" x14ac:knownFonts="1">
    <font>
      <sz val="11"/>
      <color theme="1"/>
      <name val="Calibri"/>
      <family val="2"/>
      <scheme val="minor"/>
    </font>
    <font>
      <sz val="11"/>
      <color theme="1"/>
      <name val="Calibri"/>
      <family val="2"/>
      <scheme val="minor"/>
    </font>
    <font>
      <sz val="11"/>
      <name val="Calibri"/>
      <family val="2"/>
      <scheme val="minor"/>
    </font>
    <font>
      <sz val="11"/>
      <color rgb="FF3F3F76"/>
      <name val="Calibri"/>
      <family val="2"/>
      <scheme val="minor"/>
    </font>
    <font>
      <i/>
      <sz val="11"/>
      <color rgb="FF7F7F7F"/>
      <name val="Calibri"/>
      <family val="2"/>
      <scheme val="minor"/>
    </font>
    <font>
      <sz val="8"/>
      <name val="Calibri"/>
      <family val="2"/>
      <scheme val="minor"/>
    </font>
    <font>
      <b/>
      <sz val="11"/>
      <color theme="0"/>
      <name val="Calibri"/>
      <family val="2"/>
      <scheme val="minor"/>
    </font>
    <font>
      <b/>
      <sz val="11"/>
      <color theme="1"/>
      <name val="Calibri"/>
      <family val="2"/>
      <scheme val="minor"/>
    </font>
    <font>
      <b/>
      <sz val="11"/>
      <name val="Calibri"/>
      <family val="2"/>
      <scheme val="minor"/>
    </font>
    <font>
      <b/>
      <sz val="11"/>
      <color rgb="FFFFFFFF"/>
      <name val="Calibri"/>
      <family val="2"/>
      <scheme val="minor"/>
    </font>
    <font>
      <sz val="11"/>
      <color rgb="FF000000"/>
      <name val="Calibri"/>
      <family val="2"/>
      <scheme val="minor"/>
    </font>
    <font>
      <b/>
      <sz val="11"/>
      <color rgb="FF000000"/>
      <name val="Calibri"/>
      <family val="2"/>
      <scheme val="minor"/>
    </font>
    <font>
      <i/>
      <sz val="11"/>
      <color theme="5" tint="-0.249977111117893"/>
      <name val="Calibri"/>
      <family val="2"/>
      <scheme val="minor"/>
    </font>
  </fonts>
  <fills count="11">
    <fill>
      <patternFill patternType="none"/>
    </fill>
    <fill>
      <patternFill patternType="gray125"/>
    </fill>
    <fill>
      <patternFill patternType="solid">
        <fgColor rgb="FFFFCC99"/>
      </patternFill>
    </fill>
    <fill>
      <patternFill patternType="solid">
        <fgColor rgb="FFFFFFCC"/>
      </patternFill>
    </fill>
    <fill>
      <patternFill patternType="solid">
        <fgColor theme="4"/>
        <bgColor theme="4"/>
      </patternFill>
    </fill>
    <fill>
      <patternFill patternType="solid">
        <fgColor rgb="FFFFFCCC"/>
        <bgColor indexed="64"/>
      </patternFill>
    </fill>
    <fill>
      <patternFill patternType="solid">
        <fgColor theme="4"/>
        <bgColor indexed="64"/>
      </patternFill>
    </fill>
    <fill>
      <patternFill patternType="solid">
        <fgColor rgb="FF4472C4"/>
        <bgColor rgb="FF4472C4"/>
      </patternFill>
    </fill>
    <fill>
      <patternFill patternType="solid">
        <fgColor theme="2"/>
        <bgColor indexed="64"/>
      </patternFill>
    </fill>
    <fill>
      <patternFill patternType="solid">
        <fgColor theme="9" tint="0.79998168889431442"/>
        <bgColor indexed="64"/>
      </patternFill>
    </fill>
    <fill>
      <patternFill patternType="solid">
        <fgColor rgb="FFE2EFDA"/>
        <bgColor indexed="64"/>
      </patternFill>
    </fill>
  </fills>
  <borders count="23">
    <border>
      <left/>
      <right/>
      <top/>
      <bottom/>
      <diagonal/>
    </border>
    <border>
      <left style="thin">
        <color rgb="FFB2B2B2"/>
      </left>
      <right style="thin">
        <color rgb="FFB2B2B2"/>
      </right>
      <top style="thin">
        <color rgb="FFB2B2B2"/>
      </top>
      <bottom style="thin">
        <color rgb="FFB2B2B2"/>
      </bottom>
      <diagonal/>
    </border>
    <border>
      <left style="thin">
        <color theme="4"/>
      </left>
      <right/>
      <top style="thin">
        <color theme="4"/>
      </top>
      <bottom/>
      <diagonal/>
    </border>
    <border>
      <left style="thin">
        <color rgb="FF7F7F7F"/>
      </left>
      <right style="thin">
        <color rgb="FF7F7F7F"/>
      </right>
      <top style="thin">
        <color rgb="FF7F7F7F"/>
      </top>
      <bottom/>
      <diagonal/>
    </border>
    <border>
      <left/>
      <right/>
      <top style="thin">
        <color theme="4"/>
      </top>
      <bottom/>
      <diagonal/>
    </border>
    <border>
      <left/>
      <right/>
      <top style="thin">
        <color rgb="FF4472C4"/>
      </top>
      <bottom/>
      <diagonal/>
    </border>
    <border>
      <left style="thin">
        <color rgb="FF4472C4"/>
      </left>
      <right/>
      <top style="thin">
        <color rgb="FF4472C4"/>
      </top>
      <bottom/>
      <diagonal/>
    </border>
    <border>
      <left/>
      <right style="thin">
        <color rgb="FF4472C4"/>
      </right>
      <top style="thin">
        <color rgb="FF4472C4"/>
      </top>
      <bottom/>
      <diagonal/>
    </border>
    <border>
      <left style="thin">
        <color rgb="FF4472C4"/>
      </left>
      <right/>
      <top/>
      <bottom/>
      <diagonal/>
    </border>
    <border>
      <left/>
      <right style="thin">
        <color rgb="FF4472C4"/>
      </right>
      <top/>
      <bottom/>
      <diagonal/>
    </border>
    <border>
      <left style="thin">
        <color rgb="FF4472C4"/>
      </left>
      <right/>
      <top style="double">
        <color rgb="FF4472C4"/>
      </top>
      <bottom style="thin">
        <color rgb="FF4472C4"/>
      </bottom>
      <diagonal/>
    </border>
    <border>
      <left/>
      <right/>
      <top style="double">
        <color rgb="FF4472C4"/>
      </top>
      <bottom style="thin">
        <color rgb="FF4472C4"/>
      </bottom>
      <diagonal/>
    </border>
    <border>
      <left/>
      <right style="thin">
        <color rgb="FF4472C4"/>
      </right>
      <top style="double">
        <color rgb="FF4472C4"/>
      </top>
      <bottom style="thin">
        <color rgb="FF4472C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right style="thin">
        <color theme="4"/>
      </right>
      <top/>
      <bottom/>
      <diagonal/>
    </border>
    <border>
      <left style="thin">
        <color auto="1"/>
      </left>
      <right/>
      <top/>
      <bottom/>
      <diagonal/>
    </border>
  </borders>
  <cellStyleXfs count="5">
    <xf numFmtId="0" fontId="0" fillId="0" borderId="0"/>
    <xf numFmtId="164" fontId="1" fillId="0" borderId="0" applyFont="0" applyFill="0" applyBorder="0" applyAlignment="0" applyProtection="0"/>
    <xf numFmtId="41" fontId="1" fillId="0" borderId="0" applyFont="0" applyFill="0" applyBorder="0" applyAlignment="0" applyProtection="0"/>
    <xf numFmtId="0" fontId="1" fillId="3" borderId="1" applyNumberFormat="0" applyFont="0" applyAlignment="0" applyProtection="0"/>
    <xf numFmtId="0" fontId="4" fillId="0" borderId="0" applyNumberFormat="0" applyFill="0" applyBorder="0" applyAlignment="0" applyProtection="0"/>
  </cellStyleXfs>
  <cellXfs count="103">
    <xf numFmtId="0" fontId="0" fillId="0" borderId="0" xfId="0"/>
    <xf numFmtId="0" fontId="0" fillId="0" borderId="0" xfId="0" applyAlignment="1">
      <alignment vertical="center" wrapText="1"/>
    </xf>
    <xf numFmtId="0" fontId="0" fillId="0" borderId="0" xfId="0" applyAlignment="1">
      <alignment horizontal="center" vertical="center" wrapText="1"/>
    </xf>
    <xf numFmtId="165" fontId="0" fillId="0" borderId="0" xfId="0" applyNumberFormat="1" applyAlignment="1">
      <alignment vertical="center" wrapText="1"/>
    </xf>
    <xf numFmtId="0" fontId="2" fillId="0" borderId="0" xfId="0" applyFont="1" applyFill="1" applyBorder="1" applyAlignment="1">
      <alignment vertical="center" wrapText="1"/>
    </xf>
    <xf numFmtId="0" fontId="2" fillId="0" borderId="0" xfId="0" applyFont="1" applyFill="1" applyAlignment="1">
      <alignment vertical="center" wrapText="1"/>
    </xf>
    <xf numFmtId="164" fontId="2" fillId="0" borderId="0" xfId="1" applyFont="1" applyFill="1" applyBorder="1" applyAlignment="1">
      <alignment vertical="center" wrapText="1"/>
    </xf>
    <xf numFmtId="164" fontId="2" fillId="0" borderId="0" xfId="1" applyFont="1" applyFill="1" applyAlignment="1">
      <alignment vertical="center" wrapText="1"/>
    </xf>
    <xf numFmtId="41" fontId="2" fillId="0" borderId="0" xfId="2" applyFont="1" applyFill="1" applyBorder="1" applyAlignment="1">
      <alignment horizontal="center" vertical="center" wrapText="1"/>
    </xf>
    <xf numFmtId="41" fontId="2" fillId="0" borderId="0" xfId="2" applyFont="1" applyFill="1" applyBorder="1" applyAlignment="1">
      <alignment vertical="center" wrapText="1"/>
    </xf>
    <xf numFmtId="0" fontId="0" fillId="0" borderId="0" xfId="0" applyFill="1" applyBorder="1" applyAlignment="1">
      <alignment vertical="center" wrapText="1"/>
    </xf>
    <xf numFmtId="0" fontId="4" fillId="0" borderId="0" xfId="4" applyFill="1" applyBorder="1" applyAlignment="1">
      <alignment vertical="center" wrapText="1"/>
    </xf>
    <xf numFmtId="164" fontId="0" fillId="0" borderId="0" xfId="1" applyFont="1" applyFill="1" applyBorder="1" applyAlignment="1">
      <alignment vertical="center" wrapText="1"/>
    </xf>
    <xf numFmtId="41" fontId="0" fillId="0" borderId="0" xfId="2" applyFont="1" applyFill="1" applyBorder="1" applyAlignment="1">
      <alignment vertical="center" wrapText="1"/>
    </xf>
    <xf numFmtId="0" fontId="0" fillId="3" borderId="1" xfId="3" applyFont="1" applyAlignment="1">
      <alignment vertical="center" wrapText="1"/>
    </xf>
    <xf numFmtId="0" fontId="0" fillId="0" borderId="0" xfId="0" applyFill="1" applyAlignment="1">
      <alignment vertical="center" wrapText="1"/>
    </xf>
    <xf numFmtId="0" fontId="0" fillId="0" borderId="0" xfId="0" applyNumberFormat="1" applyFill="1" applyAlignment="1">
      <alignment vertical="center" wrapText="1"/>
    </xf>
    <xf numFmtId="41" fontId="0" fillId="0" borderId="0" xfId="0" applyNumberFormat="1" applyFill="1" applyAlignment="1">
      <alignment vertical="center" wrapText="1"/>
    </xf>
    <xf numFmtId="164" fontId="3" fillId="0" borderId="0" xfId="1" applyFont="1" applyFill="1" applyBorder="1" applyAlignment="1">
      <alignment vertical="center" wrapText="1"/>
    </xf>
    <xf numFmtId="164" fontId="3" fillId="2" borderId="3" xfId="1" applyFont="1" applyFill="1" applyBorder="1" applyAlignment="1">
      <alignment vertical="center" wrapText="1"/>
    </xf>
    <xf numFmtId="0" fontId="6" fillId="4" borderId="2" xfId="0" applyFont="1" applyFill="1" applyBorder="1" applyAlignment="1">
      <alignment vertical="center" wrapText="1"/>
    </xf>
    <xf numFmtId="164" fontId="4" fillId="0" borderId="0" xfId="4" applyNumberFormat="1" applyFill="1" applyBorder="1" applyAlignment="1">
      <alignment vertical="center" wrapText="1"/>
    </xf>
    <xf numFmtId="0" fontId="6" fillId="4" borderId="4" xfId="0" applyFont="1" applyFill="1" applyBorder="1" applyAlignment="1">
      <alignment vertical="center" wrapText="1"/>
    </xf>
    <xf numFmtId="0" fontId="6" fillId="4" borderId="0" xfId="0" applyFont="1" applyFill="1" applyBorder="1" applyAlignment="1">
      <alignment vertical="center" wrapText="1"/>
    </xf>
    <xf numFmtId="14" fontId="0" fillId="0" borderId="0" xfId="0" applyNumberFormat="1" applyFill="1" applyAlignment="1">
      <alignment vertical="center" wrapText="1"/>
    </xf>
    <xf numFmtId="167" fontId="0" fillId="0" borderId="0" xfId="2" applyNumberFormat="1" applyFont="1" applyFill="1" applyAlignment="1">
      <alignment vertical="center" wrapText="1"/>
    </xf>
    <xf numFmtId="168" fontId="0" fillId="0" borderId="0" xfId="0" applyNumberFormat="1" applyFill="1" applyAlignment="1">
      <alignment vertical="center" wrapText="1"/>
    </xf>
    <xf numFmtId="0" fontId="2" fillId="0" borderId="0" xfId="0" applyFont="1" applyAlignment="1">
      <alignment vertical="center" wrapText="1"/>
    </xf>
    <xf numFmtId="168" fontId="0" fillId="0" borderId="0" xfId="0" applyNumberFormat="1" applyAlignment="1">
      <alignment vertical="center" wrapText="1"/>
    </xf>
    <xf numFmtId="167" fontId="0" fillId="0" borderId="0" xfId="0" applyNumberFormat="1" applyFill="1" applyAlignment="1">
      <alignment vertical="center" wrapText="1"/>
    </xf>
    <xf numFmtId="166" fontId="2" fillId="0" borderId="0" xfId="2" applyNumberFormat="1" applyFont="1" applyFill="1" applyBorder="1" applyAlignment="1">
      <alignment vertical="center" wrapText="1"/>
    </xf>
    <xf numFmtId="0" fontId="0" fillId="0" borderId="0" xfId="0" applyAlignment="1">
      <alignment wrapText="1"/>
    </xf>
    <xf numFmtId="0" fontId="6" fillId="4" borderId="2" xfId="0" applyFont="1" applyFill="1" applyBorder="1" applyAlignment="1">
      <alignment horizontal="center" vertical="center" wrapText="1"/>
    </xf>
    <xf numFmtId="0" fontId="6" fillId="6" borderId="0" xfId="0" applyFont="1" applyFill="1" applyAlignment="1">
      <alignment horizontal="center"/>
    </xf>
    <xf numFmtId="0" fontId="9" fillId="7" borderId="5" xfId="0" applyFont="1" applyFill="1" applyBorder="1" applyAlignment="1">
      <alignment vertical="center" wrapText="1"/>
    </xf>
    <xf numFmtId="0" fontId="10" fillId="0" borderId="0" xfId="0" applyFont="1" applyAlignment="1">
      <alignment vertical="center" wrapText="1"/>
    </xf>
    <xf numFmtId="168" fontId="10" fillId="0" borderId="0" xfId="0" applyNumberFormat="1" applyFont="1" applyAlignment="1">
      <alignment vertical="center" wrapText="1"/>
    </xf>
    <xf numFmtId="0" fontId="9" fillId="7" borderId="6" xfId="0" applyFont="1" applyFill="1" applyBorder="1" applyAlignment="1">
      <alignment vertical="center" wrapText="1"/>
    </xf>
    <xf numFmtId="0" fontId="9" fillId="7" borderId="7" xfId="0" applyFont="1" applyFill="1" applyBorder="1" applyAlignment="1">
      <alignment vertical="center" wrapText="1"/>
    </xf>
    <xf numFmtId="0" fontId="2" fillId="0" borderId="8" xfId="0" applyFont="1" applyBorder="1" applyAlignment="1">
      <alignment vertical="center" wrapText="1"/>
    </xf>
    <xf numFmtId="14" fontId="10" fillId="0" borderId="0" xfId="0" applyNumberFormat="1" applyFont="1" applyAlignment="1">
      <alignment vertical="center" wrapText="1"/>
    </xf>
    <xf numFmtId="167" fontId="10" fillId="0" borderId="9" xfId="0" applyNumberFormat="1" applyFont="1" applyBorder="1" applyAlignment="1">
      <alignment vertical="center" wrapText="1"/>
    </xf>
    <xf numFmtId="0" fontId="8" fillId="0" borderId="10" xfId="0" applyFont="1" applyBorder="1" applyAlignment="1">
      <alignment vertical="center" wrapText="1"/>
    </xf>
    <xf numFmtId="0" fontId="11" fillId="0" borderId="11" xfId="0" applyFont="1" applyBorder="1" applyAlignment="1">
      <alignment vertical="center" wrapText="1"/>
    </xf>
    <xf numFmtId="167" fontId="11" fillId="0" borderId="12" xfId="0" applyNumberFormat="1" applyFont="1" applyBorder="1" applyAlignment="1">
      <alignment vertical="center" wrapText="1"/>
    </xf>
    <xf numFmtId="0" fontId="0" fillId="0" borderId="14" xfId="0" applyBorder="1" applyAlignment="1">
      <alignment vertical="center" wrapText="1"/>
    </xf>
    <xf numFmtId="0" fontId="0" fillId="0" borderId="14" xfId="0" applyBorder="1" applyAlignment="1">
      <alignment wrapText="1"/>
    </xf>
    <xf numFmtId="0" fontId="0" fillId="0" borderId="0" xfId="0" applyBorder="1" applyAlignment="1">
      <alignment vertical="center" wrapText="1"/>
    </xf>
    <xf numFmtId="0" fontId="0" fillId="0" borderId="0" xfId="0" applyBorder="1" applyAlignment="1">
      <alignment wrapText="1"/>
    </xf>
    <xf numFmtId="0" fontId="0" fillId="0" borderId="19" xfId="0" applyBorder="1" applyAlignment="1">
      <alignment vertical="center" wrapText="1"/>
    </xf>
    <xf numFmtId="0" fontId="0" fillId="0" borderId="19" xfId="0" applyBorder="1" applyAlignment="1">
      <alignment wrapText="1"/>
    </xf>
    <xf numFmtId="14" fontId="0" fillId="0" borderId="0" xfId="2" applyNumberFormat="1" applyFont="1" applyFill="1" applyBorder="1" applyAlignment="1">
      <alignment vertical="center" wrapText="1"/>
    </xf>
    <xf numFmtId="9" fontId="0" fillId="0" borderId="0" xfId="0" applyNumberFormat="1" applyFill="1" applyBorder="1" applyAlignment="1">
      <alignment vertical="center" wrapText="1"/>
    </xf>
    <xf numFmtId="0" fontId="0" fillId="0" borderId="0" xfId="2" applyNumberFormat="1" applyFont="1" applyFill="1" applyBorder="1" applyAlignment="1">
      <alignment vertical="center" wrapText="1"/>
    </xf>
    <xf numFmtId="2" fontId="0" fillId="0" borderId="0" xfId="2" applyNumberFormat="1" applyFont="1" applyFill="1" applyBorder="1" applyAlignment="1">
      <alignment vertical="center" wrapText="1"/>
    </xf>
    <xf numFmtId="0" fontId="0" fillId="5" borderId="20" xfId="0" applyFill="1" applyBorder="1" applyAlignment="1">
      <alignment vertical="center" wrapText="1"/>
    </xf>
    <xf numFmtId="0" fontId="0" fillId="0" borderId="0" xfId="0" applyFont="1" applyBorder="1" applyAlignment="1">
      <alignment vertical="center" wrapText="1"/>
    </xf>
    <xf numFmtId="0" fontId="0" fillId="0" borderId="0" xfId="0" applyFont="1" applyAlignment="1">
      <alignment vertical="center" wrapText="1"/>
    </xf>
    <xf numFmtId="164" fontId="0" fillId="0" borderId="0" xfId="2" applyNumberFormat="1" applyFont="1" applyFill="1" applyBorder="1" applyAlignment="1">
      <alignment vertical="center" wrapText="1"/>
    </xf>
    <xf numFmtId="5" fontId="0" fillId="0" borderId="0" xfId="1" applyNumberFormat="1" applyFont="1" applyFill="1" applyBorder="1" applyAlignment="1">
      <alignment vertical="center" wrapText="1"/>
    </xf>
    <xf numFmtId="167" fontId="0" fillId="0" borderId="21" xfId="2" applyNumberFormat="1" applyFont="1" applyBorder="1" applyAlignment="1">
      <alignment vertical="center" wrapText="1"/>
    </xf>
    <xf numFmtId="14" fontId="0" fillId="0" borderId="0" xfId="0" applyNumberFormat="1" applyBorder="1" applyAlignment="1">
      <alignment horizontal="center" vertical="center"/>
    </xf>
    <xf numFmtId="167" fontId="0" fillId="0" borderId="0" xfId="0" applyNumberFormat="1" applyAlignment="1">
      <alignment vertical="center" wrapText="1"/>
    </xf>
    <xf numFmtId="14" fontId="0" fillId="0" borderId="0" xfId="0" applyNumberFormat="1" applyAlignment="1">
      <alignment vertical="center" wrapText="1"/>
    </xf>
    <xf numFmtId="43" fontId="0" fillId="0" borderId="0" xfId="0" applyNumberFormat="1" applyFill="1" applyAlignment="1">
      <alignment vertical="center" wrapText="1"/>
    </xf>
    <xf numFmtId="2" fontId="0" fillId="0" borderId="0" xfId="0" applyNumberFormat="1" applyFill="1" applyAlignment="1">
      <alignment vertical="center" wrapText="1"/>
    </xf>
    <xf numFmtId="43" fontId="0" fillId="0" borderId="0" xfId="0" applyNumberFormat="1" applyFill="1" applyBorder="1" applyAlignment="1">
      <alignment vertical="center" wrapText="1"/>
    </xf>
    <xf numFmtId="167" fontId="0" fillId="0" borderId="0" xfId="0" applyNumberFormat="1" applyFill="1" applyBorder="1" applyAlignment="1">
      <alignment vertical="center" wrapText="1"/>
    </xf>
    <xf numFmtId="14" fontId="2" fillId="0" borderId="0" xfId="0" applyNumberFormat="1" applyFont="1" applyFill="1" applyAlignment="1">
      <alignment vertical="center" wrapText="1"/>
    </xf>
    <xf numFmtId="164" fontId="4" fillId="8" borderId="0" xfId="4" applyNumberFormat="1" applyFill="1" applyBorder="1" applyAlignment="1">
      <alignment vertical="center" wrapText="1"/>
    </xf>
    <xf numFmtId="0" fontId="2" fillId="0" borderId="0" xfId="0" applyFont="1" applyAlignment="1">
      <alignment horizontal="center" vertical="center" wrapText="1"/>
    </xf>
    <xf numFmtId="9" fontId="0" fillId="0" borderId="0" xfId="0" applyNumberFormat="1" applyAlignment="1">
      <alignment vertical="center" wrapText="1"/>
    </xf>
    <xf numFmtId="0" fontId="0" fillId="0" borderId="0" xfId="0" applyAlignment="1">
      <alignment vertical="center"/>
    </xf>
    <xf numFmtId="0" fontId="9" fillId="7" borderId="0" xfId="0" applyFont="1" applyFill="1" applyBorder="1" applyAlignment="1">
      <alignment vertical="center" wrapText="1"/>
    </xf>
    <xf numFmtId="0" fontId="0" fillId="0" borderId="0" xfId="0" applyBorder="1" applyAlignment="1">
      <alignment horizontal="left" vertical="center"/>
    </xf>
    <xf numFmtId="0" fontId="0" fillId="9" borderId="0" xfId="0" applyFill="1" applyAlignment="1">
      <alignment vertical="center" wrapText="1"/>
    </xf>
    <xf numFmtId="41" fontId="0" fillId="9" borderId="0" xfId="0" applyNumberFormat="1" applyFill="1" applyAlignment="1">
      <alignment vertical="center" wrapText="1"/>
    </xf>
    <xf numFmtId="0" fontId="0" fillId="0" borderId="0" xfId="0" applyNumberFormat="1" applyFill="1" applyBorder="1" applyAlignment="1">
      <alignment vertical="center" wrapText="1"/>
    </xf>
    <xf numFmtId="0" fontId="0" fillId="9" borderId="0" xfId="0" applyNumberFormat="1" applyFill="1" applyAlignment="1">
      <alignment vertical="center" wrapText="1"/>
    </xf>
    <xf numFmtId="0" fontId="2" fillId="0" borderId="0" xfId="2" applyNumberFormat="1" applyFont="1" applyFill="1" applyBorder="1" applyAlignment="1">
      <alignment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0" fillId="10" borderId="0" xfId="0" applyFill="1" applyAlignment="1">
      <alignment vertical="center" wrapText="1"/>
    </xf>
    <xf numFmtId="14" fontId="0" fillId="0" borderId="0" xfId="0" applyNumberFormat="1" applyFill="1" applyBorder="1" applyAlignment="1">
      <alignment vertical="center" wrapText="1"/>
    </xf>
    <xf numFmtId="166" fontId="1" fillId="0" borderId="0" xfId="2" applyNumberFormat="1" applyFont="1" applyFill="1" applyBorder="1" applyAlignment="1">
      <alignment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22" xfId="0" applyFill="1" applyBorder="1" applyAlignment="1">
      <alignment horizontal="center" vertical="center" wrapText="1"/>
    </xf>
    <xf numFmtId="0" fontId="0" fillId="5" borderId="0" xfId="0" applyFill="1" applyAlignment="1">
      <alignment horizontal="center" vertical="center" wrapText="1"/>
    </xf>
    <xf numFmtId="0" fontId="4" fillId="0" borderId="0" xfId="4" applyFill="1" applyBorder="1" applyAlignment="1">
      <alignment horizontal="center" vertical="center" wrapText="1"/>
    </xf>
    <xf numFmtId="0" fontId="0" fillId="0" borderId="0" xfId="0" applyAlignment="1">
      <alignment horizontal="center" wrapText="1"/>
    </xf>
    <xf numFmtId="0" fontId="12" fillId="0" borderId="13"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16" xfId="0" applyFont="1" applyBorder="1" applyAlignment="1">
      <alignment horizontal="center" vertical="center" wrapText="1"/>
    </xf>
    <xf numFmtId="0" fontId="12" fillId="0" borderId="18" xfId="0" applyFont="1" applyBorder="1" applyAlignment="1">
      <alignment horizontal="center"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12" fillId="0" borderId="13" xfId="0" applyFont="1" applyBorder="1" applyAlignment="1">
      <alignment horizontal="center" vertical="center" wrapText="1"/>
    </xf>
    <xf numFmtId="0" fontId="0" fillId="0" borderId="14" xfId="0" applyBorder="1" applyAlignment="1">
      <alignment horizontal="center"/>
    </xf>
    <xf numFmtId="0" fontId="0" fillId="0" borderId="0" xfId="0" applyBorder="1" applyAlignment="1">
      <alignment horizontal="center"/>
    </xf>
    <xf numFmtId="0" fontId="0" fillId="0" borderId="19" xfId="0" applyBorder="1" applyAlignment="1">
      <alignment horizontal="center"/>
    </xf>
  </cellXfs>
  <cellStyles count="5">
    <cellStyle name="Millares [0]" xfId="2" builtinId="6"/>
    <cellStyle name="Moneda [0]" xfId="1" builtinId="7"/>
    <cellStyle name="Normal" xfId="0" builtinId="0"/>
    <cellStyle name="Notas" xfId="3" builtinId="10"/>
    <cellStyle name="Texto explicativo" xfId="4" builtinId="53"/>
  </cellStyles>
  <dxfs count="501">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8" formatCode="0.0"/>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8" formatCode="0.0"/>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0" formatCode="General"/>
      <fill>
        <patternFill patternType="solid">
          <fgColor indexed="64"/>
          <bgColor theme="9" tint="0.79998168889431442"/>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2" formatCode="0.00"/>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8" formatCode="0.0"/>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8" formatCode="0.0"/>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numFmt numFmtId="167" formatCode="_-* #,##0.00_-;\-* #,##0.00_-;_-* &quot;-&quot;_-;_-@_-"/>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rgb="FFE2EFDA"/>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rgb="FFE2EFDA"/>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solid">
          <fgColor indexed="64"/>
          <bgColor theme="9" tint="0.79998168889431442"/>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rgb="FF000000"/>
          <bgColor rgb="FFFFFFFF"/>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solid">
          <fgColor indexed="64"/>
          <bgColor theme="9" tint="0.79998168889431442"/>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solid">
          <fgColor indexed="64"/>
          <bgColor theme="9" tint="0.79998168889431442"/>
        </patternFill>
      </fill>
      <alignment horizontal="general" vertical="center" textRotation="0" wrapText="1" indent="0" justifyLastLine="0" shrinkToFit="0" readingOrder="0"/>
    </dxf>
    <dxf>
      <numFmt numFmtId="164" formatCode="_-&quot;$&quot;\ * #,##0_-;\-&quot;$&quot;\ * #,##0_-;_-&quot;$&quot;\ *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solid">
          <fgColor indexed="64"/>
          <bgColor theme="9" tint="0.79998168889431442"/>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3" formatCode="0%"/>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solid">
          <fgColor indexed="64"/>
          <bgColor theme="9" tint="0.79998168889431442"/>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13" formatCode="0%"/>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9" formatCode="d/mm/yy"/>
      <fill>
        <patternFill patternType="none">
          <fgColor indexed="64"/>
          <bgColor indexed="65"/>
        </patternFill>
      </fill>
      <alignment horizontal="general" vertical="center" textRotation="0" wrapText="1" indent="0" justifyLastLine="0" shrinkToFit="0" readingOrder="0"/>
    </dxf>
    <dxf>
      <numFmt numFmtId="33" formatCode="_-* #,##0_-;\-* #,##0_-;_-* &quot;-&quot;_-;_-@_-"/>
      <fill>
        <patternFill patternType="solid">
          <fgColor indexed="64"/>
          <bgColor theme="9" tint="0.79998168889431442"/>
        </patternFill>
      </fill>
      <alignment horizontal="general" vertical="center" textRotation="0" wrapText="1" indent="0" justifyLastLine="0" shrinkToFit="0" readingOrder="0"/>
    </dxf>
    <dxf>
      <numFmt numFmtId="33" formatCode="_-* #,##0_-;\-* #,##0_-;_-* &quot;-&quot;_-;_-@_-"/>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166" formatCode="_-* #,##0.0_-;\-* #,##0.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6" formatCode="_-* #,##0.0_-;\-* #,##0.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6" formatCode="_-* #,##0.0_-;\-* #,##0.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3" formatCode="_-* #,##0_-;\-* #,##0_-;_-* &quot;-&quot;_-;_-@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3" formatCode="_-* #,##0_-;\-* #,##0_-;_-* &quot;-&quot;_-;_-@_-"/>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64" formatCode="_-&quot;$&quot;\ * #,##0_-;\-&quot;$&quot;\ * #,##0_-;_-&quot;$&quot;\ *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33" formatCode="_-* #,##0_-;\-* #,##0_-;_-* &quot;-&quot;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le1" displayName="Table1" ref="A2:J7" totalsRowShown="0" headerRowDxfId="496" dataDxfId="495">
  <autoFilter ref="A2:J7"/>
  <sortState ref="A3:J7">
    <sortCondition ref="A2:A7"/>
  </sortState>
  <tableColumns count="10">
    <tableColumn id="1" name="No." dataDxfId="494" totalsRowDxfId="493"/>
    <tableColumn id="2" name="Proponente" dataDxfId="492" totalsRowDxfId="491"/>
    <tableColumn id="5" name="Propuesta técnica" dataDxfId="490" totalsRowDxfId="489"/>
    <tableColumn id="4" name="Experiencia_Específica" dataDxfId="488" totalsRowDxfId="487"/>
    <tableColumn id="9" name="Puntaje_EE" dataDxfId="486" totalsRowDxfId="485"/>
    <tableColumn id="6" name="Valor Propuesta Económica [COP$]" dataDxfId="484" totalsRowDxfId="483"/>
    <tableColumn id="7" name="Puntaje_PE" dataDxfId="482" totalsRowDxfId="481"/>
    <tableColumn id="3" name="Equipo Trabajo " dataDxfId="480" totalsRowDxfId="479" dataCellStyle="Millares [0]"/>
    <tableColumn id="10" name="Puntaje_ET" dataDxfId="478" totalsRowDxfId="477"/>
    <tableColumn id="11" name="Total" dataDxfId="476" totalsRowDxfId="475">
      <calculatedColumnFormula>Table1[[#This Row],[Puntaje_EE]]+Table1[[#This Row],[Puntaje_PE]]+Table1[[#This Row],[Puntaje_ET]]</calculatedColumnFormula>
    </tableColumn>
  </tableColumns>
  <tableStyleInfo name="TableStyleLight1" showFirstColumn="0" showLastColumn="1" showRowStripes="0" showColumnStripes="0"/>
</table>
</file>

<file path=xl/tables/table10.xml><?xml version="1.0" encoding="utf-8"?>
<table xmlns="http://schemas.openxmlformats.org/spreadsheetml/2006/main" id="16" name="tblEA_Fedesarrollo" displayName="tblEA_Fedesarrollo" ref="A19:E22" totalsRowCount="1" headerRowDxfId="313" dataDxfId="312">
  <autoFilter ref="A19:E21"/>
  <tableColumns count="5">
    <tableColumn id="2" name="Contrato" dataDxfId="311" totalsRowDxfId="310"/>
    <tableColumn id="3" name="Objeto" dataDxfId="309" totalsRowDxfId="308"/>
    <tableColumn id="1" name="Soporte" dataDxfId="307" totalsRowDxfId="306"/>
    <tableColumn id="4" name="Observación" dataDxfId="305" totalsRowDxfId="304"/>
    <tableColumn id="5" name="Puntaje" totalsRowFunction="custom" dataDxfId="303" totalsRowDxfId="302">
      <totalsRowFormula>SUM(E20:E21)</totalsRowFormula>
    </tableColumn>
  </tableColumns>
  <tableStyleInfo name="TableStyleLight9" showFirstColumn="0" showLastColumn="0" showRowStripes="0" showColumnStripes="0"/>
</table>
</file>

<file path=xl/tables/table11.xml><?xml version="1.0" encoding="utf-8"?>
<table xmlns="http://schemas.openxmlformats.org/spreadsheetml/2006/main" id="17" name="tblEA_KPMG" displayName="tblEA_KPMG" ref="A24:E27" totalsRowCount="1" headerRowDxfId="301" dataDxfId="300">
  <autoFilter ref="A24:E26"/>
  <tableColumns count="5">
    <tableColumn id="2" name="Contrato" dataDxfId="299" totalsRowDxfId="298"/>
    <tableColumn id="3" name="Objeto" dataDxfId="297" totalsRowDxfId="296"/>
    <tableColumn id="1" name="Soporte" dataDxfId="295" totalsRowDxfId="294"/>
    <tableColumn id="4" name="Observación" dataDxfId="293" totalsRowDxfId="292"/>
    <tableColumn id="5" name="Puntaje" totalsRowFunction="custom" dataDxfId="291" totalsRowDxfId="290">
      <totalsRowFormula>SUM(E25:E26)</totalsRowFormula>
    </tableColumn>
  </tableColumns>
  <tableStyleInfo name="TableStyleLight9" showFirstColumn="0" showLastColumn="0" showRowStripes="0" showColumnStripes="0"/>
</table>
</file>

<file path=xl/tables/table12.xml><?xml version="1.0" encoding="utf-8"?>
<table xmlns="http://schemas.openxmlformats.org/spreadsheetml/2006/main" id="24" name="tblET_Inerco" displayName="tblET_Inerco" ref="A4:J8" totalsRowCount="1" headerRowDxfId="289" dataDxfId="288">
  <autoFilter ref="A4:J7"/>
  <tableColumns count="10">
    <tableColumn id="2" name="Ítem" dataDxfId="287" totalsRowDxfId="286"/>
    <tableColumn id="3" name="Profesional 1" dataDxfId="285" totalsRowDxfId="284"/>
    <tableColumn id="11" name="Puntaje_P1" totalsRowFunction="sum" dataDxfId="283" totalsRowDxfId="282"/>
    <tableColumn id="7" name="Profesional 2" dataDxfId="281" totalsRowDxfId="280"/>
    <tableColumn id="12" name="Puntaje_P2" totalsRowFunction="sum" dataDxfId="279" totalsRowDxfId="278"/>
    <tableColumn id="1" name="Profesional 3" dataDxfId="277" totalsRowDxfId="276"/>
    <tableColumn id="13" name="Habilita " totalsRowDxfId="275"/>
    <tableColumn id="6" name="Profesional 4" dataDxfId="274" totalsRowDxfId="273"/>
    <tableColumn id="14" name="Habilita" dataDxfId="272" totalsRowDxfId="271"/>
    <tableColumn id="4" name="Soporte" totalsRowFunction="custom" dataDxfId="270" totalsRowDxfId="269">
      <totalsRowFormula>tblET_Inerco[[#Totals],[Puntaje_P1]]+tblET_Inerco[[#Totals],[Puntaje_P2]]</totalsRowFormula>
    </tableColumn>
  </tableColumns>
  <tableStyleInfo name="TableStyleLight9" showFirstColumn="0" showLastColumn="0" showRowStripes="0" showColumnStripes="0"/>
</table>
</file>

<file path=xl/tables/table13.xml><?xml version="1.0" encoding="utf-8"?>
<table xmlns="http://schemas.openxmlformats.org/spreadsheetml/2006/main" id="36" name="tblET_Inerco_P2" displayName="tblET_Inerco_P2" ref="A15:E18" totalsRowCount="1" headerRowDxfId="268" dataDxfId="267">
  <autoFilter ref="A15:E17"/>
  <tableColumns count="5">
    <tableColumn id="1" name="Experiencia" dataDxfId="266" totalsRowDxfId="265"/>
    <tableColumn id="2" name="Actividad / Función" dataDxfId="264" totalsRowDxfId="263"/>
    <tableColumn id="3" name="Fecha_Inicio" dataDxfId="262" totalsRowDxfId="261"/>
    <tableColumn id="4" name="Fecha_Final" dataDxfId="260" totalsRowDxfId="259"/>
    <tableColumn id="5" name="Duración" dataDxfId="258" totalsRowDxfId="257"/>
  </tableColumns>
  <tableStyleInfo name="TableStyleLight9" showFirstColumn="0" showLastColumn="0" showRowStripes="0" showColumnStripes="0"/>
</table>
</file>

<file path=xl/tables/table14.xml><?xml version="1.0" encoding="utf-8"?>
<table xmlns="http://schemas.openxmlformats.org/spreadsheetml/2006/main" id="35" name="tblET_Inerco_P1" displayName="tblET_Inerco_P1" ref="A10:E13" totalsRowCount="1" headerRowDxfId="256" dataDxfId="255">
  <autoFilter ref="A10:E12"/>
  <tableColumns count="5">
    <tableColumn id="1" name="Experiencia" dataDxfId="254" totalsRowDxfId="253"/>
    <tableColumn id="2" name="Actividad / Función" dataDxfId="252" totalsRowDxfId="251"/>
    <tableColumn id="3" name="Fecha_Inicio" dataDxfId="250" totalsRowDxfId="249"/>
    <tableColumn id="4" name="Fecha_Final" dataDxfId="248" totalsRowDxfId="247"/>
    <tableColumn id="5" name="Duración" dataDxfId="246" totalsRowDxfId="245"/>
  </tableColumns>
  <tableStyleInfo name="TableStyleLight9" showFirstColumn="0" showLastColumn="0" showRowStripes="0" showColumnStripes="0"/>
</table>
</file>

<file path=xl/tables/table15.xml><?xml version="1.0" encoding="utf-8"?>
<table xmlns="http://schemas.openxmlformats.org/spreadsheetml/2006/main" id="3" name="tblET_Inerco_P24" displayName="tblET_Inerco_P24" ref="A20:E23" totalsRowCount="1" headerRowDxfId="244" dataDxfId="243">
  <autoFilter ref="A20:E22"/>
  <tableColumns count="5">
    <tableColumn id="1" name="Experiencia" dataDxfId="242" totalsRowDxfId="241"/>
    <tableColumn id="2" name="Actividad / Función" dataDxfId="240" totalsRowDxfId="239"/>
    <tableColumn id="3" name="Fecha_Inicio" dataDxfId="238" totalsRowDxfId="237"/>
    <tableColumn id="4" name="Fecha_Final" dataDxfId="236" totalsRowDxfId="235"/>
    <tableColumn id="5" name="Duración" dataDxfId="234" totalsRowDxfId="233"/>
  </tableColumns>
  <tableStyleInfo name="TableStyleLight9" showFirstColumn="0" showLastColumn="0" showRowStripes="0" showColumnStripes="0"/>
</table>
</file>

<file path=xl/tables/table16.xml><?xml version="1.0" encoding="utf-8"?>
<table xmlns="http://schemas.openxmlformats.org/spreadsheetml/2006/main" id="4" name="tblET_Inerco5" displayName="tblET_Inerco5" ref="A32:J36" totalsRowCount="1" headerRowDxfId="232" dataDxfId="231">
  <autoFilter ref="A32:J35"/>
  <tableColumns count="10">
    <tableColumn id="2" name="Ítem" dataDxfId="230" totalsRowDxfId="229"/>
    <tableColumn id="3" name="Profesional 1" dataDxfId="228" totalsRowDxfId="227"/>
    <tableColumn id="11" name="Puntaje_P1" totalsRowFunction="sum" dataDxfId="226" totalsRowDxfId="225"/>
    <tableColumn id="7" name="Profesional 2" dataDxfId="224" totalsRowDxfId="223"/>
    <tableColumn id="12" name="Puntaje_P2" totalsRowFunction="sum" dataDxfId="222" totalsRowDxfId="221"/>
    <tableColumn id="1" name="Profesional 3" dataDxfId="220" totalsRowDxfId="219"/>
    <tableColumn id="13" name="Habilita" totalsRowDxfId="218"/>
    <tableColumn id="6" name="Profesional 4" dataDxfId="217" totalsRowDxfId="216"/>
    <tableColumn id="14" name="Habilita2" totalsRowDxfId="215"/>
    <tableColumn id="4" name="Soporte" totalsRowFunction="custom" dataDxfId="214" totalsRowDxfId="213">
      <totalsRowFormula>tblET_Inerco5[[#Totals],[Puntaje_P1]]+tblET_Inerco5[[#Totals],[Puntaje_P2]]</totalsRowFormula>
    </tableColumn>
  </tableColumns>
  <tableStyleInfo name="TableStyleLight9" showFirstColumn="0" showLastColumn="0" showRowStripes="0" showColumnStripes="0"/>
</table>
</file>

<file path=xl/tables/table17.xml><?xml version="1.0" encoding="utf-8"?>
<table xmlns="http://schemas.openxmlformats.org/spreadsheetml/2006/main" id="5" name="tblET_Inerco_P26" displayName="tblET_Inerco_P26" ref="A47:E58" totalsRowCount="1" headerRowDxfId="212" dataDxfId="211">
  <autoFilter ref="A47:E57"/>
  <tableColumns count="5">
    <tableColumn id="1" name="Experiencia" dataDxfId="210" totalsRowDxfId="209"/>
    <tableColumn id="2" name="Actividad / Función" dataDxfId="208" totalsRowDxfId="207"/>
    <tableColumn id="3" name="Fecha_Inicio" dataDxfId="206" totalsRowDxfId="205"/>
    <tableColumn id="4" name="Fecha_Final" dataDxfId="204" totalsRowDxfId="203"/>
    <tableColumn id="5" name="Duración" totalsRowFunction="sum" dataDxfId="202" totalsRowDxfId="201">
      <calculatedColumnFormula>+DAYS360(C48,D48)/360</calculatedColumnFormula>
    </tableColumn>
  </tableColumns>
  <tableStyleInfo name="TableStyleLight9" showFirstColumn="0" showLastColumn="0" showRowStripes="0" showColumnStripes="0"/>
</table>
</file>

<file path=xl/tables/table18.xml><?xml version="1.0" encoding="utf-8"?>
<table xmlns="http://schemas.openxmlformats.org/spreadsheetml/2006/main" id="6" name="tblET_Inerco_P17" displayName="tblET_Inerco_P17" ref="A38:F45" totalsRowCount="1" headerRowDxfId="200" dataDxfId="199">
  <autoFilter ref="A38:F44"/>
  <tableColumns count="6">
    <tableColumn id="1" name="Experiencia" dataDxfId="198" totalsRowDxfId="197"/>
    <tableColumn id="2" name="Actividad / Función" dataDxfId="196" totalsRowDxfId="195"/>
    <tableColumn id="3" name="Fecha_Inicio" dataDxfId="194" totalsRowDxfId="193"/>
    <tableColumn id="4" name="Fecha_Final" dataDxfId="192" totalsRowDxfId="191"/>
    <tableColumn id="5" name="Duración" totalsRowFunction="sum" dataDxfId="190" totalsRowDxfId="189">
      <calculatedColumnFormula>+DAYS360(C39,D39)/360</calculatedColumnFormula>
    </tableColumn>
    <tableColumn id="6" name="Columna1" dataDxfId="188" totalsRowDxfId="187"/>
  </tableColumns>
  <tableStyleInfo name="TableStyleLight9" showFirstColumn="0" showLastColumn="0" showRowStripes="0" showColumnStripes="0"/>
</table>
</file>

<file path=xl/tables/table19.xml><?xml version="1.0" encoding="utf-8"?>
<table xmlns="http://schemas.openxmlformats.org/spreadsheetml/2006/main" id="7" name="tblET_Inerco_P248" displayName="tblET_Inerco_P248" ref="A60:E68" totalsRowCount="1" headerRowDxfId="186" dataDxfId="185">
  <autoFilter ref="A60:E67"/>
  <tableColumns count="5">
    <tableColumn id="1" name="Experiencia" dataDxfId="184" totalsRowDxfId="183"/>
    <tableColumn id="2" name="Actividad / Función" dataDxfId="182" totalsRowDxfId="181"/>
    <tableColumn id="3" name="Fecha_Inicio" dataDxfId="180" totalsRowDxfId="179"/>
    <tableColumn id="4" name="Fecha_Final" dataDxfId="178" totalsRowDxfId="177"/>
    <tableColumn id="5" name="Duración" totalsRowFunction="sum" dataDxfId="176" totalsRowDxfId="175">
      <calculatedColumnFormula>+DAYS360(C61,D61)/360</calculatedColumnFormula>
    </tableColumn>
  </tableColumns>
  <tableStyleInfo name="TableStyleLight9" showFirstColumn="0" showLastColumn="0" showRowStripes="0" showColumnStripes="0"/>
</table>
</file>

<file path=xl/tables/table2.xml><?xml version="1.0" encoding="utf-8"?>
<table xmlns="http://schemas.openxmlformats.org/spreadsheetml/2006/main" id="2" name="tblRH_EE_Inerco" displayName="tblRH_EE_Inerco" ref="A5:K11" totalsRowCount="1" headerRowDxfId="469" dataDxfId="468">
  <autoFilter ref="A5:K10"/>
  <tableColumns count="11">
    <tableColumn id="2" name="Contrato" dataDxfId="467" totalsRowDxfId="466"/>
    <tableColumn id="3" name="Objeto" dataDxfId="465" totalsRowDxfId="464"/>
    <tableColumn id="4" name="Valor [COP$]" dataDxfId="463" totalsRowDxfId="462"/>
    <tableColumn id="5" name="Participación [%]" dataDxfId="461" totalsRowDxfId="460"/>
    <tableColumn id="6" name="Valor [SMMLV]" totalsRowFunction="custom" dataDxfId="459" totalsRowDxfId="458">
      <calculatedColumnFormula>(tblRH_EE_Inerco[[#This Row],[Valor '[COP$']]]*tblRH_EE_Inerco[[#This Row],[Participación '[%']]])/$B$3</calculatedColumnFormula>
      <totalsRowFormula>E10+E7</totalsRowFormula>
    </tableColumn>
    <tableColumn id="9" name="Fecha_inicio" dataDxfId="457" totalsRowDxfId="456"/>
    <tableColumn id="10" name="Fecha_final" dataDxfId="455" totalsRowDxfId="454"/>
    <tableColumn id="11" name="Duración" totalsRowFunction="sum" dataDxfId="453" totalsRowDxfId="452">
      <calculatedColumnFormula>DAYS360(tblRH_EE_Inerco[[#This Row],[Fecha_inicio]],tblRH_EE_Inerco[[#This Row],[Fecha_final]])/360</calculatedColumnFormula>
    </tableColumn>
    <tableColumn id="7" name="Observaciones" totalsRowLabel="La experiencia presentada no alcanza los requisitos mínimos habilitantes" dataDxfId="451" totalsRowDxfId="450"/>
    <tableColumn id="8" name="Habilita" dataDxfId="449" totalsRowDxfId="448"/>
    <tableColumn id="1" name="Soporte" dataDxfId="447" totalsRowDxfId="446"/>
  </tableColumns>
  <tableStyleInfo name="TableStyleLight9" showFirstColumn="0" showLastColumn="0" showRowStripes="0" showColumnStripes="0"/>
</table>
</file>

<file path=xl/tables/table20.xml><?xml version="1.0" encoding="utf-8"?>
<table xmlns="http://schemas.openxmlformats.org/spreadsheetml/2006/main" id="8" name="tblET_Inerco9" displayName="tblET_Inerco9" ref="A77:J81" totalsRowCount="1" headerRowDxfId="174" dataDxfId="173">
  <autoFilter ref="A77:J80"/>
  <tableColumns count="10">
    <tableColumn id="2" name="Ítem" dataDxfId="172" totalsRowDxfId="171"/>
    <tableColumn id="3" name="Profesional 1" totalsRowFunction="sum" totalsRowDxfId="170"/>
    <tableColumn id="11" name="Puntaje_P1" totalsRowFunction="sum" dataDxfId="169" totalsRowDxfId="168"/>
    <tableColumn id="7" name="Profesional 2" totalsRowFunction="sum" dataDxfId="167" totalsRowDxfId="166"/>
    <tableColumn id="12" name="Puntaje_P2" totalsRowFunction="sum" dataDxfId="165" totalsRowDxfId="164"/>
    <tableColumn id="1" name="Profesional 3" totalsRowFunction="sum" dataDxfId="163" totalsRowDxfId="162"/>
    <tableColumn id="13" name="Habilita" dataDxfId="161" totalsRowDxfId="160"/>
    <tableColumn id="6" name="Profesional 4" totalsRowFunction="sum" dataDxfId="159" totalsRowDxfId="158"/>
    <tableColumn id="14" name="Habilita2" dataDxfId="157" totalsRowDxfId="156"/>
    <tableColumn id="4" name="Soporte" totalsRowFunction="custom" dataDxfId="155" totalsRowDxfId="154">
      <totalsRowFormula>tblET_Inerco9[[#Totals],[Puntaje_P1]]+tblET_Inerco9[[#Totals],[Puntaje_P2]]</totalsRowFormula>
    </tableColumn>
  </tableColumns>
  <tableStyleInfo name="TableStyleLight9" showFirstColumn="0" showLastColumn="0" showRowStripes="0" showColumnStripes="0"/>
</table>
</file>

<file path=xl/tables/table21.xml><?xml version="1.0" encoding="utf-8"?>
<table xmlns="http://schemas.openxmlformats.org/spreadsheetml/2006/main" id="9" name="tblET_Inerco_P210" displayName="tblET_Inerco_P210" ref="A92:F104" totalsRowCount="1" headerRowDxfId="153" dataDxfId="152">
  <autoFilter ref="A92:F103"/>
  <tableColumns count="6">
    <tableColumn id="1" name="Experiencia" dataDxfId="151" totalsRowDxfId="150"/>
    <tableColumn id="2" name="Actividad / Función" dataDxfId="149" totalsRowDxfId="148"/>
    <tableColumn id="3" name="Fecha_Inicio" dataDxfId="147" totalsRowDxfId="146"/>
    <tableColumn id="4" name="Fecha_Final" dataDxfId="145" totalsRowDxfId="144"/>
    <tableColumn id="5" name="Duración" totalsRowFunction="sum" dataDxfId="143" totalsRowDxfId="142">
      <calculatedColumnFormula>(DAYS360(tblET_Inerco_P210[[#This Row],[Fecha_Inicio]],tblET_Inerco_P210[[#This Row],[Fecha_Final]])/360)</calculatedColumnFormula>
    </tableColumn>
    <tableColumn id="6" name="Columna1" dataDxfId="141" totalsRowDxfId="140"/>
  </tableColumns>
  <tableStyleInfo name="TableStyleLight9" showFirstColumn="0" showLastColumn="0" showRowStripes="0" showColumnStripes="0"/>
</table>
</file>

<file path=xl/tables/table22.xml><?xml version="1.0" encoding="utf-8"?>
<table xmlns="http://schemas.openxmlformats.org/spreadsheetml/2006/main" id="10" name="tblET_Inerco_P111" displayName="tblET_Inerco_P111" ref="A83:E90" totalsRowCount="1" headerRowDxfId="139" dataDxfId="138">
  <autoFilter ref="A83:E89"/>
  <tableColumns count="5">
    <tableColumn id="1" name="Experiencia" dataDxfId="137" totalsRowDxfId="136"/>
    <tableColumn id="2" name="Actividad / Función" dataDxfId="135" totalsRowDxfId="134"/>
    <tableColumn id="3" name="Fecha_Inicio" dataDxfId="133" totalsRowDxfId="132"/>
    <tableColumn id="4" name="Fecha_Final" dataDxfId="131" totalsRowDxfId="130"/>
    <tableColumn id="5" name="Duración" totalsRowFunction="sum" dataDxfId="129" totalsRowDxfId="128">
      <calculatedColumnFormula>DAYS360(tblET_Inerco_P111[[#This Row],[Fecha_Inicio]],tblET_Inerco_P111[[#This Row],[Fecha_Final]])/360</calculatedColumnFormula>
    </tableColumn>
  </tableColumns>
  <tableStyleInfo name="TableStyleLight9" showFirstColumn="0" showLastColumn="0" showRowStripes="0" showColumnStripes="0"/>
</table>
</file>

<file path=xl/tables/table23.xml><?xml version="1.0" encoding="utf-8"?>
<table xmlns="http://schemas.openxmlformats.org/spreadsheetml/2006/main" id="11" name="tblET_Inerco_P2412" displayName="tblET_Inerco_P2412" ref="A106:E112" totalsRowCount="1" headerRowDxfId="127" dataDxfId="126">
  <autoFilter ref="A106:E111"/>
  <tableColumns count="5">
    <tableColumn id="1" name="Experiencia" dataDxfId="125" totalsRowDxfId="124"/>
    <tableColumn id="2" name="Actividad / Función" dataDxfId="123" totalsRowDxfId="122"/>
    <tableColumn id="3" name="Fecha_Inicio" dataDxfId="121" totalsRowDxfId="120"/>
    <tableColumn id="4" name="Fecha_Final" dataDxfId="119" totalsRowDxfId="118"/>
    <tableColumn id="5" name="Duración" totalsRowFunction="sum" dataDxfId="117" totalsRowDxfId="116">
      <calculatedColumnFormula>DAYS360(tblET_Inerco_P2412[[#This Row],[Fecha_Inicio]],tblET_Inerco_P2412[[#This Row],[Fecha_Final]])/360</calculatedColumnFormula>
    </tableColumn>
  </tableColumns>
  <tableStyleInfo name="TableStyleLight9" showFirstColumn="0" showLastColumn="0" showRowStripes="0" showColumnStripes="0"/>
</table>
</file>

<file path=xl/tables/table24.xml><?xml version="1.0" encoding="utf-8"?>
<table xmlns="http://schemas.openxmlformats.org/spreadsheetml/2006/main" id="12" name="tblET_Inerco13" displayName="tblET_Inerco13" ref="A122:J126" totalsRowCount="1" headerRowDxfId="115" dataDxfId="114">
  <autoFilter ref="A122:J125"/>
  <tableColumns count="10">
    <tableColumn id="2" name="Ítem" dataDxfId="113" totalsRowDxfId="112"/>
    <tableColumn id="3" name="Profesional 1" totalsRowFunction="sum" dataDxfId="111" totalsRowDxfId="110"/>
    <tableColumn id="11" name="Puntaje_P1" totalsRowFunction="sum" dataDxfId="109" totalsRowDxfId="108">
      <calculatedColumnFormula>E127+E128+E129+E130+E131+E132+E133+E134</calculatedColumnFormula>
    </tableColumn>
    <tableColumn id="7" name="Profesional 2" dataDxfId="107" totalsRowDxfId="106"/>
    <tableColumn id="12" name="Puntaje_P2" totalsRowFunction="sum" dataDxfId="105" totalsRowDxfId="104"/>
    <tableColumn id="1" name="Profesional 3" totalsRowFunction="sum" dataDxfId="103" totalsRowDxfId="102"/>
    <tableColumn id="13" name="Habilita" dataDxfId="101" totalsRowDxfId="100"/>
    <tableColumn id="6" name="Profesional 4" totalsRowFunction="sum" dataDxfId="99" totalsRowDxfId="98"/>
    <tableColumn id="14" name="Habilita2" dataDxfId="97" totalsRowDxfId="96"/>
    <tableColumn id="4" name="Soporte" totalsRowFunction="custom" dataDxfId="95" totalsRowDxfId="94">
      <totalsRowFormula>tblET_Inerco13[[#Totals],[Puntaje_P1]]+tblET_Inerco13[[#Totals],[Puntaje_P2]]</totalsRowFormula>
    </tableColumn>
  </tableColumns>
  <tableStyleInfo name="TableStyleLight9" showFirstColumn="0" showLastColumn="0" showRowStripes="0" showColumnStripes="0"/>
</table>
</file>

<file path=xl/tables/table25.xml><?xml version="1.0" encoding="utf-8"?>
<table xmlns="http://schemas.openxmlformats.org/spreadsheetml/2006/main" id="25" name="tblET_Inerco_P226" displayName="tblET_Inerco_P226" ref="A139:E148" totalsRowCount="1" headerRowDxfId="93" dataDxfId="92">
  <autoFilter ref="A139:E147"/>
  <tableColumns count="5">
    <tableColumn id="1" name="Experiencia" dataDxfId="91" totalsRowDxfId="90"/>
    <tableColumn id="2" name="Actividad / Función" dataDxfId="89" totalsRowDxfId="88"/>
    <tableColumn id="3" name="Fecha_Inicio" dataDxfId="87" totalsRowDxfId="86"/>
    <tableColumn id="4" name="Fecha_Final" dataDxfId="85" totalsRowDxfId="84"/>
    <tableColumn id="5" name="Duración" totalsRowFunction="sum" dataDxfId="83" totalsRowDxfId="82">
      <calculatedColumnFormula>DAYS360(C140,D140)/360</calculatedColumnFormula>
    </tableColumn>
  </tableColumns>
  <tableStyleInfo name="TableStyleLight9" showFirstColumn="0" showLastColumn="0" showRowStripes="0" showColumnStripes="0"/>
</table>
</file>

<file path=xl/tables/table26.xml><?xml version="1.0" encoding="utf-8"?>
<table xmlns="http://schemas.openxmlformats.org/spreadsheetml/2006/main" id="26" name="tblET_Inerco_P127" displayName="tblET_Inerco_P127" ref="A128:E137" totalsRowCount="1" headerRowDxfId="81" dataDxfId="80">
  <autoFilter ref="A128:E136"/>
  <tableColumns count="5">
    <tableColumn id="1" name="Experiencia" dataDxfId="79" totalsRowDxfId="78"/>
    <tableColumn id="2" name="Actividad / Función" dataDxfId="77" totalsRowDxfId="76"/>
    <tableColumn id="3" name="Fecha_Inicio" dataDxfId="75" totalsRowDxfId="74"/>
    <tableColumn id="4" name="Fecha_Final" dataDxfId="73" totalsRowDxfId="72"/>
    <tableColumn id="5" name="Duración" totalsRowFunction="sum" dataDxfId="71" totalsRowDxfId="70">
      <calculatedColumnFormula>DAYS360(C129,D129)/360</calculatedColumnFormula>
    </tableColumn>
  </tableColumns>
  <tableStyleInfo name="TableStyleLight9" showFirstColumn="0" showLastColumn="0" showRowStripes="0" showColumnStripes="0"/>
</table>
</file>

<file path=xl/tables/table27.xml><?xml version="1.0" encoding="utf-8"?>
<table xmlns="http://schemas.openxmlformats.org/spreadsheetml/2006/main" id="27" name="tblET_Inerco_P2428" displayName="tblET_Inerco_P2428" ref="A150:E159" totalsRowCount="1" headerRowDxfId="69" dataDxfId="68">
  <autoFilter ref="A150:E158"/>
  <tableColumns count="5">
    <tableColumn id="1" name="Experiencia" dataDxfId="67" totalsRowDxfId="66"/>
    <tableColumn id="2" name="Actividad / Función" dataDxfId="65" totalsRowDxfId="64"/>
    <tableColumn id="3" name="Fecha_Inicio" dataDxfId="63" totalsRowDxfId="62"/>
    <tableColumn id="4" name="Fecha_Final" dataDxfId="61" totalsRowDxfId="60"/>
    <tableColumn id="5" name="Duración" totalsRowFunction="sum" dataDxfId="59" totalsRowDxfId="58">
      <calculatedColumnFormula>DAYS360(C151,D151)/360</calculatedColumnFormula>
    </tableColumn>
  </tableColumns>
  <tableStyleInfo name="TableStyleLight9" showFirstColumn="0" showLastColumn="0" showRowStripes="0" showColumnStripes="0"/>
</table>
</file>

<file path=xl/tables/table28.xml><?xml version="1.0" encoding="utf-8"?>
<table xmlns="http://schemas.openxmlformats.org/spreadsheetml/2006/main" id="28" name="tblET_Inerco29" displayName="tblET_Inerco29" ref="A167:J171" totalsRowCount="1" headerRowDxfId="57" dataDxfId="56">
  <autoFilter ref="A167:J170"/>
  <tableColumns count="10">
    <tableColumn id="2" name="Ítem" dataDxfId="55" totalsRowDxfId="54"/>
    <tableColumn id="3" name="Profesional 1" dataDxfId="53" totalsRowDxfId="52"/>
    <tableColumn id="11" name="Puntaje_P1" totalsRowFunction="sum" dataDxfId="51" totalsRowDxfId="50"/>
    <tableColumn id="7" name="Profesional 2" dataDxfId="49" totalsRowDxfId="48"/>
    <tableColumn id="12" name="Puntaje_P2" totalsRowFunction="sum" dataDxfId="47" totalsRowDxfId="46"/>
    <tableColumn id="1" name="Profesional 3" dataDxfId="45" totalsRowDxfId="44"/>
    <tableColumn id="13" name="Habilita" dataDxfId="43" totalsRowDxfId="42"/>
    <tableColumn id="6" name="Profesional 4" dataDxfId="41" totalsRowDxfId="40"/>
    <tableColumn id="14" name="Habilita2" dataDxfId="39" totalsRowDxfId="38"/>
    <tableColumn id="4" name="Soporte" totalsRowFunction="custom" dataDxfId="37" totalsRowDxfId="36">
      <totalsRowFormula>tblET_Inerco29[[#Totals],[Puntaje_P1]]+tblET_Inerco29[[#Totals],[Puntaje_P2]]</totalsRowFormula>
    </tableColumn>
  </tableColumns>
  <tableStyleInfo name="TableStyleLight9" showFirstColumn="0" showLastColumn="0" showRowStripes="0" showColumnStripes="0"/>
</table>
</file>

<file path=xl/tables/table29.xml><?xml version="1.0" encoding="utf-8"?>
<table xmlns="http://schemas.openxmlformats.org/spreadsheetml/2006/main" id="29" name="tblET_Inerco_P230" displayName="tblET_Inerco_P230" ref="A177:E179" totalsRowCount="1" headerRowDxfId="35" dataDxfId="34">
  <autoFilter ref="A177:E178"/>
  <tableColumns count="5">
    <tableColumn id="1" name="Experiencia" dataDxfId="33" totalsRowDxfId="32"/>
    <tableColumn id="2" name="Actividad / Función" dataDxfId="31" totalsRowDxfId="30"/>
    <tableColumn id="3" name="Fecha_Inicio" dataDxfId="29" totalsRowDxfId="28"/>
    <tableColumn id="4" name="Fecha_Final" dataDxfId="27" totalsRowDxfId="26"/>
    <tableColumn id="5" name="Duración" totalsRowFunction="sum" dataDxfId="25" totalsRowDxfId="24">
      <calculatedColumnFormula>DAYS360(C178,D178)/360</calculatedColumnFormula>
    </tableColumn>
  </tableColumns>
  <tableStyleInfo name="TableStyleLight9" showFirstColumn="0" showLastColumn="0" showRowStripes="0" showColumnStripes="0"/>
</table>
</file>

<file path=xl/tables/table3.xml><?xml version="1.0" encoding="utf-8"?>
<table xmlns="http://schemas.openxmlformats.org/spreadsheetml/2006/main" id="32" name="tblRH_EE_Inerco33" displayName="tblRH_EE_Inerco33" ref="A14:K18" totalsRowCount="1" headerRowDxfId="445" dataDxfId="444">
  <autoFilter ref="A14:K17"/>
  <tableColumns count="11">
    <tableColumn id="2" name="Contrato" dataDxfId="443" totalsRowDxfId="442"/>
    <tableColumn id="3" name="Objeto" dataDxfId="441" totalsRowDxfId="440"/>
    <tableColumn id="4" name="Valor [COP$]" dataDxfId="439" totalsRowDxfId="438"/>
    <tableColumn id="5" name="Participación [%]" dataDxfId="437" totalsRowDxfId="436"/>
    <tableColumn id="6" name="Valor [SMMLV]" totalsRowFunction="sum" dataDxfId="435" totalsRowDxfId="434">
      <calculatedColumnFormula>(tblRH_EE_Inerco33[[#This Row],[Valor '[COP$']]]*tblRH_EE_Inerco33[[#This Row],[Participación '[%']]])/$B$3</calculatedColumnFormula>
    </tableColumn>
    <tableColumn id="9" name="Fecha_inicio" dataDxfId="433" totalsRowDxfId="432"/>
    <tableColumn id="10" name="Fecha_final" dataDxfId="431" totalsRowDxfId="430"/>
    <tableColumn id="11" name="Duración" totalsRowFunction="sum" dataDxfId="429" totalsRowDxfId="428">
      <calculatedColumnFormula>DAYS360(tblRH_EE_Inerco33[[#This Row],[Fecha_inicio]],tblRH_EE_Inerco33[[#This Row],[Fecha_final]])/360</calculatedColumnFormula>
    </tableColumn>
    <tableColumn id="7" name="Observaciones" dataDxfId="427" totalsRowDxfId="426"/>
    <tableColumn id="8" name="Habilita" dataDxfId="425" totalsRowDxfId="424"/>
    <tableColumn id="1" name="Soporte" dataDxfId="423" totalsRowDxfId="422"/>
  </tableColumns>
  <tableStyleInfo name="TableStyleLight9" showFirstColumn="0" showLastColumn="0" showRowStripes="0" showColumnStripes="0"/>
</table>
</file>

<file path=xl/tables/table30.xml><?xml version="1.0" encoding="utf-8"?>
<table xmlns="http://schemas.openxmlformats.org/spreadsheetml/2006/main" id="30" name="tblET_Inerco_P131" displayName="tblET_Inerco_P131" ref="A173:E175" totalsRowCount="1" headerRowDxfId="23" dataDxfId="22">
  <autoFilter ref="A173:E174"/>
  <tableColumns count="5">
    <tableColumn id="1" name="Experiencia" dataDxfId="21" totalsRowDxfId="20"/>
    <tableColumn id="2" name="Actividad / Función" dataDxfId="19" totalsRowDxfId="18"/>
    <tableColumn id="3" name="Fecha_Inicio" dataDxfId="17" totalsRowDxfId="16"/>
    <tableColumn id="4" name="Fecha_Final" dataDxfId="15" totalsRowDxfId="14"/>
    <tableColumn id="5" name="Duración" totalsRowFunction="sum" dataDxfId="13" totalsRowDxfId="12">
      <calculatedColumnFormula>DAYS360(C174,D174)/360</calculatedColumnFormula>
    </tableColumn>
  </tableColumns>
  <tableStyleInfo name="TableStyleLight9" showFirstColumn="0" showLastColumn="0" showRowStripes="0" showColumnStripes="0"/>
</table>
</file>

<file path=xl/tables/table31.xml><?xml version="1.0" encoding="utf-8"?>
<table xmlns="http://schemas.openxmlformats.org/spreadsheetml/2006/main" id="31" name="tblET_Inerco_P2432" displayName="tblET_Inerco_P2432" ref="A181:E183" totalsRowCount="1" headerRowDxfId="11" dataDxfId="10">
  <autoFilter ref="A181:E182"/>
  <tableColumns count="5">
    <tableColumn id="1" name="Experiencia" dataDxfId="9" totalsRowDxfId="8"/>
    <tableColumn id="2" name="Actividad / Función" dataDxfId="7" totalsRowDxfId="6"/>
    <tableColumn id="3" name="Fecha_Inicio" dataDxfId="5" totalsRowDxfId="4"/>
    <tableColumn id="4" name="Fecha_Final" dataDxfId="3" totalsRowDxfId="2"/>
    <tableColumn id="5" name="Duración" totalsRowFunction="sum" dataDxfId="1" totalsRowDxfId="0">
      <calculatedColumnFormula>DAYS360(C182,D182)/360</calculatedColumnFormula>
    </tableColumn>
  </tableColumns>
  <tableStyleInfo name="TableStyleLight9" showFirstColumn="0" showLastColumn="0" showRowStripes="0" showColumnStripes="0"/>
</table>
</file>

<file path=xl/tables/table4.xml><?xml version="1.0" encoding="utf-8"?>
<table xmlns="http://schemas.openxmlformats.org/spreadsheetml/2006/main" id="34" name="tblRH_EE_Inerco3335" displayName="tblRH_EE_Inerco3335" ref="A21:K25" totalsRowCount="1" headerRowDxfId="421" dataDxfId="420">
  <autoFilter ref="A21:K24"/>
  <tableColumns count="11">
    <tableColumn id="2" name="Contrato" dataDxfId="419" totalsRowDxfId="418"/>
    <tableColumn id="3" name="Objeto" dataDxfId="417" totalsRowDxfId="416"/>
    <tableColumn id="4" name="Valor [COP$]" dataDxfId="415" totalsRowDxfId="414"/>
    <tableColumn id="5" name="Participación [%]" dataDxfId="413" totalsRowDxfId="412"/>
    <tableColumn id="6" name="Valor [SMMLV]" totalsRowFunction="sum" dataDxfId="411" totalsRowDxfId="410">
      <calculatedColumnFormula>(tblRH_EE_Inerco3335[[#This Row],[Valor '[COP$']]]*tblRH_EE_Inerco3335[[#This Row],[Participación '[%']]])/$B$3</calculatedColumnFormula>
    </tableColumn>
    <tableColumn id="9" name="Fecha_inicio" dataDxfId="409" totalsRowDxfId="408"/>
    <tableColumn id="10" name="Fecha_final" dataDxfId="407" totalsRowDxfId="406"/>
    <tableColumn id="11" name="Duración" totalsRowFunction="sum" dataDxfId="405" totalsRowDxfId="404"/>
    <tableColumn id="7" name="Observaciones" dataDxfId="403" totalsRowDxfId="402"/>
    <tableColumn id="8" name="Habilita" dataDxfId="401" totalsRowDxfId="400"/>
    <tableColumn id="1" name="Soporte" dataDxfId="399" totalsRowDxfId="398"/>
  </tableColumns>
  <tableStyleInfo name="TableStyleLight9" showFirstColumn="0" showLastColumn="0" showRowStripes="0" showColumnStripes="0"/>
</table>
</file>

<file path=xl/tables/table5.xml><?xml version="1.0" encoding="utf-8"?>
<table xmlns="http://schemas.openxmlformats.org/spreadsheetml/2006/main" id="37" name="tblRH_EE_Inerco3338" displayName="tblRH_EE_Inerco3338" ref="A28:K32" totalsRowCount="1" headerRowDxfId="397" dataDxfId="396">
  <autoFilter ref="A28:K31"/>
  <tableColumns count="11">
    <tableColumn id="2" name="Contrato" dataDxfId="395" totalsRowDxfId="394"/>
    <tableColumn id="3" name="Objeto" dataDxfId="393" totalsRowDxfId="392"/>
    <tableColumn id="4" name="Valor [COP$]" dataDxfId="391" totalsRowDxfId="390"/>
    <tableColumn id="5" name="Participación [%]" dataDxfId="389" totalsRowDxfId="388"/>
    <tableColumn id="6" name="Valor [SMMLV]" totalsRowFunction="sum" dataDxfId="387" totalsRowDxfId="386">
      <calculatedColumnFormula>(tblRH_EE_Inerco3338[[#This Row],[Valor '[COP$']]]*tblRH_EE_Inerco3338[[#This Row],[Participación '[%']]])/$B$3</calculatedColumnFormula>
    </tableColumn>
    <tableColumn id="9" name="Fecha_inicio" dataDxfId="385" totalsRowDxfId="384"/>
    <tableColumn id="10" name="Fecha_final" dataDxfId="383" totalsRowDxfId="382"/>
    <tableColumn id="11" name="Duración" totalsRowFunction="sum" dataDxfId="381" totalsRowDxfId="380">
      <calculatedColumnFormula>DAYS360(tblRH_EE_Inerco3338[[#This Row],[Fecha_inicio]],tblRH_EE_Inerco3338[[#This Row],[Fecha_final]])/360</calculatedColumnFormula>
    </tableColumn>
    <tableColumn id="7" name="Observaciones" dataDxfId="379" totalsRowDxfId="378"/>
    <tableColumn id="8" name="Habilita" dataDxfId="377" totalsRowDxfId="376"/>
    <tableColumn id="1" name="Soporte" dataDxfId="375" totalsRowDxfId="374"/>
  </tableColumns>
  <tableStyleInfo name="TableStyleLight9" showFirstColumn="0" showLastColumn="0" showRowStripes="0" showColumnStripes="0"/>
</table>
</file>

<file path=xl/tables/table6.xml><?xml version="1.0" encoding="utf-8"?>
<table xmlns="http://schemas.openxmlformats.org/spreadsheetml/2006/main" id="38" name="tblRH_EE_Inerco3339" displayName="tblRH_EE_Inerco3339" ref="A35:K39" totalsRowCount="1" headerRowDxfId="373" dataDxfId="372">
  <autoFilter ref="A35:K38"/>
  <tableColumns count="11">
    <tableColumn id="2" name="Contrato" dataDxfId="371" totalsRowDxfId="370"/>
    <tableColumn id="3" name="Objeto" dataDxfId="369" totalsRowDxfId="368"/>
    <tableColumn id="4" name="Valor [COP$]" dataDxfId="367" totalsRowDxfId="366"/>
    <tableColumn id="5" name="Participación [%]" dataDxfId="365" totalsRowDxfId="364"/>
    <tableColumn id="6" name="Valor [SMMLV]" totalsRowFunction="sum" dataDxfId="363" totalsRowDxfId="362">
      <calculatedColumnFormula>(tblRH_EE_Inerco3339[[#This Row],[Valor '[COP$']]]*tblRH_EE_Inerco3339[[#This Row],[Participación '[%']]])/$B$3</calculatedColumnFormula>
    </tableColumn>
    <tableColumn id="9" name="Fecha_inicio" dataDxfId="361" totalsRowDxfId="360"/>
    <tableColumn id="10" name="Fecha_final" dataDxfId="359" totalsRowDxfId="358"/>
    <tableColumn id="11" name="Duración" totalsRowFunction="sum" dataDxfId="357" totalsRowDxfId="356">
      <calculatedColumnFormula>+DAYS360(tblRH_EE_Inerco3339[[#This Row],[Fecha_inicio]],tblRH_EE_Inerco3339[[#This Row],[Fecha_final]])/360</calculatedColumnFormula>
    </tableColumn>
    <tableColumn id="7" name="Observaciones" dataDxfId="355" totalsRowDxfId="354"/>
    <tableColumn id="8" name="Habilita" dataDxfId="353" totalsRowDxfId="352"/>
    <tableColumn id="1" name="Soporte" dataDxfId="351" totalsRowDxfId="350"/>
  </tableColumns>
  <tableStyleInfo name="TableStyleLight9" showFirstColumn="0" showLastColumn="0" showRowStripes="0" showColumnStripes="0"/>
</table>
</file>

<file path=xl/tables/table7.xml><?xml version="1.0" encoding="utf-8"?>
<table xmlns="http://schemas.openxmlformats.org/spreadsheetml/2006/main" id="13" name="tblEA_Inerco" displayName="tblEA_Inerco" ref="A4:E7" totalsRowCount="1" headerRowDxfId="349" dataDxfId="348">
  <autoFilter ref="A4:E6"/>
  <tableColumns count="5">
    <tableColumn id="2" name="Contrato" dataDxfId="347" totalsRowDxfId="346"/>
    <tableColumn id="3" name="Objeto" dataDxfId="345" totalsRowDxfId="344"/>
    <tableColumn id="1" name="Soporte" dataDxfId="343" totalsRowDxfId="342"/>
    <tableColumn id="5" name="Observación" dataDxfId="341" totalsRowDxfId="340"/>
    <tableColumn id="6" name="Puntaje" totalsRowFunction="custom" dataDxfId="339" totalsRowDxfId="338">
      <totalsRowFormula>SUM(E5:E6)</totalsRowFormula>
    </tableColumn>
  </tableColumns>
  <tableStyleInfo name="TableStyleLight9" showFirstColumn="0" showLastColumn="0" showRowStripes="0" showColumnStripes="0"/>
</table>
</file>

<file path=xl/tables/table8.xml><?xml version="1.0" encoding="utf-8"?>
<table xmlns="http://schemas.openxmlformats.org/spreadsheetml/2006/main" id="14" name="tblEA_Corpoema" displayName="tblEA_Corpoema" ref="A9:E12" totalsRowCount="1" headerRowDxfId="337" dataDxfId="336">
  <autoFilter ref="A9:E11"/>
  <tableColumns count="5">
    <tableColumn id="2" name="Contrato" dataDxfId="335" totalsRowDxfId="334"/>
    <tableColumn id="3" name="Objeto" dataDxfId="333" totalsRowDxfId="332"/>
    <tableColumn id="1" name="Soporte" dataDxfId="331" totalsRowDxfId="330"/>
    <tableColumn id="5" name="Observación " dataDxfId="329" totalsRowDxfId="328"/>
    <tableColumn id="6" name="Puntaje" totalsRowFunction="custom" dataDxfId="327" totalsRowDxfId="326">
      <totalsRowFormula>SUM(E10:E11)</totalsRowFormula>
    </tableColumn>
  </tableColumns>
  <tableStyleInfo name="TableStyleLight9" showFirstColumn="0" showLastColumn="0" showRowStripes="0" showColumnStripes="0"/>
</table>
</file>

<file path=xl/tables/table9.xml><?xml version="1.0" encoding="utf-8"?>
<table xmlns="http://schemas.openxmlformats.org/spreadsheetml/2006/main" id="15" name="tblEA_FNatura" displayName="tblEA_FNatura" ref="A14:E17" totalsRowCount="1" headerRowDxfId="325" dataDxfId="324">
  <autoFilter ref="A14:E16"/>
  <tableColumns count="5">
    <tableColumn id="2" name="Contrato" dataDxfId="323" totalsRowDxfId="322"/>
    <tableColumn id="3" name="Objeto" dataDxfId="321" totalsRowDxfId="320"/>
    <tableColumn id="1" name="Soporte" dataDxfId="319" totalsRowDxfId="318"/>
    <tableColumn id="4" name="Observación" dataDxfId="317" totalsRowDxfId="316"/>
    <tableColumn id="5" name="Puntaje" totalsRowFunction="custom" dataDxfId="315" totalsRowDxfId="314">
      <totalsRowFormula>SUM(E15:E16)</totalsRowFormula>
    </tableColumn>
  </tableColumns>
  <tableStyleInfo name="TableStyleLight9"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3.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8.xml"/><Relationship Id="rId13" Type="http://schemas.openxmlformats.org/officeDocument/2006/relationships/table" Target="../tables/table23.xml"/><Relationship Id="rId18" Type="http://schemas.openxmlformats.org/officeDocument/2006/relationships/table" Target="../tables/table28.xml"/><Relationship Id="rId3" Type="http://schemas.openxmlformats.org/officeDocument/2006/relationships/table" Target="../tables/table13.xml"/><Relationship Id="rId21" Type="http://schemas.openxmlformats.org/officeDocument/2006/relationships/table" Target="../tables/table31.xml"/><Relationship Id="rId7" Type="http://schemas.openxmlformats.org/officeDocument/2006/relationships/table" Target="../tables/table17.xml"/><Relationship Id="rId12" Type="http://schemas.openxmlformats.org/officeDocument/2006/relationships/table" Target="../tables/table22.xml"/><Relationship Id="rId17" Type="http://schemas.openxmlformats.org/officeDocument/2006/relationships/table" Target="../tables/table27.xml"/><Relationship Id="rId2" Type="http://schemas.openxmlformats.org/officeDocument/2006/relationships/table" Target="../tables/table12.xml"/><Relationship Id="rId16" Type="http://schemas.openxmlformats.org/officeDocument/2006/relationships/table" Target="../tables/table26.xml"/><Relationship Id="rId20" Type="http://schemas.openxmlformats.org/officeDocument/2006/relationships/table" Target="../tables/table30.xml"/><Relationship Id="rId1" Type="http://schemas.openxmlformats.org/officeDocument/2006/relationships/printerSettings" Target="../printerSettings/printerSettings4.bin"/><Relationship Id="rId6" Type="http://schemas.openxmlformats.org/officeDocument/2006/relationships/table" Target="../tables/table16.xml"/><Relationship Id="rId11" Type="http://schemas.openxmlformats.org/officeDocument/2006/relationships/table" Target="../tables/table21.xml"/><Relationship Id="rId5" Type="http://schemas.openxmlformats.org/officeDocument/2006/relationships/table" Target="../tables/table15.xml"/><Relationship Id="rId15" Type="http://schemas.openxmlformats.org/officeDocument/2006/relationships/table" Target="../tables/table25.xml"/><Relationship Id="rId10" Type="http://schemas.openxmlformats.org/officeDocument/2006/relationships/table" Target="../tables/table20.xml"/><Relationship Id="rId19" Type="http://schemas.openxmlformats.org/officeDocument/2006/relationships/table" Target="../tables/table29.xml"/><Relationship Id="rId4" Type="http://schemas.openxmlformats.org/officeDocument/2006/relationships/table" Target="../tables/table14.xml"/><Relationship Id="rId9" Type="http://schemas.openxmlformats.org/officeDocument/2006/relationships/table" Target="../tables/table19.xml"/><Relationship Id="rId1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tabSelected="1" zoomScale="115" workbookViewId="0">
      <pane xSplit="2" ySplit="2" topLeftCell="D3" activePane="bottomRight" state="frozen"/>
      <selection pane="topRight" activeCell="C1" sqref="C1"/>
      <selection pane="bottomLeft" activeCell="A3" sqref="A3"/>
      <selection pane="bottomRight" activeCell="G6" sqref="G6"/>
    </sheetView>
  </sheetViews>
  <sheetFormatPr baseColWidth="10" defaultColWidth="11.28515625" defaultRowHeight="15" x14ac:dyDescent="0.25"/>
  <cols>
    <col min="1" max="1" width="8" style="2" bestFit="1" customWidth="1"/>
    <col min="2" max="2" width="36.7109375" style="1" customWidth="1"/>
    <col min="3" max="3" width="25.85546875" style="1" customWidth="1"/>
    <col min="4" max="4" width="23.28515625" style="1" customWidth="1"/>
    <col min="5" max="5" width="20.7109375" style="1" customWidth="1"/>
    <col min="6" max="6" width="33.7109375" style="1" bestFit="1" customWidth="1"/>
    <col min="7" max="7" width="14.85546875" style="1" bestFit="1" customWidth="1"/>
    <col min="8" max="8" width="16.85546875" style="1" customWidth="1"/>
    <col min="9" max="9" width="15.28515625" style="1" customWidth="1"/>
    <col min="10" max="10" width="15.85546875" style="1" bestFit="1" customWidth="1"/>
    <col min="11" max="16384" width="11.28515625" style="1"/>
  </cols>
  <sheetData>
    <row r="1" spans="1:10" ht="24" customHeight="1" x14ac:dyDescent="0.25">
      <c r="A1" s="80"/>
      <c r="B1" s="80"/>
      <c r="C1" s="80" t="s">
        <v>0</v>
      </c>
      <c r="D1" s="80" t="s">
        <v>0</v>
      </c>
      <c r="E1" s="80" t="s">
        <v>1</v>
      </c>
      <c r="F1" s="80"/>
      <c r="G1" s="80" t="s">
        <v>2</v>
      </c>
      <c r="H1" s="82" t="s">
        <v>0</v>
      </c>
      <c r="I1" s="80" t="s">
        <v>3</v>
      </c>
      <c r="J1" s="4" t="s">
        <v>4</v>
      </c>
    </row>
    <row r="2" spans="1:10" x14ac:dyDescent="0.25">
      <c r="A2" s="80" t="s">
        <v>5</v>
      </c>
      <c r="B2" s="80" t="s">
        <v>6</v>
      </c>
      <c r="C2" s="80" t="s">
        <v>7</v>
      </c>
      <c r="D2" s="80" t="s">
        <v>8</v>
      </c>
      <c r="E2" s="80" t="s">
        <v>9</v>
      </c>
      <c r="F2" s="80" t="s">
        <v>10</v>
      </c>
      <c r="G2" s="80" t="s">
        <v>11</v>
      </c>
      <c r="H2" s="82" t="s">
        <v>271</v>
      </c>
      <c r="I2" s="80" t="s">
        <v>12</v>
      </c>
      <c r="J2" s="4" t="s">
        <v>13</v>
      </c>
    </row>
    <row r="3" spans="1:10" x14ac:dyDescent="0.25">
      <c r="A3" s="70">
        <v>1</v>
      </c>
      <c r="B3" s="27" t="s">
        <v>14</v>
      </c>
      <c r="C3" s="4" t="s">
        <v>15</v>
      </c>
      <c r="D3" s="4" t="s">
        <v>266</v>
      </c>
      <c r="E3" s="79">
        <v>0</v>
      </c>
      <c r="F3" s="6">
        <v>42840000</v>
      </c>
      <c r="G3" s="8">
        <v>0</v>
      </c>
      <c r="H3" s="8" t="s">
        <v>266</v>
      </c>
      <c r="I3" s="79">
        <v>0</v>
      </c>
      <c r="J3" s="30">
        <f>Table1[[#This Row],[Puntaje_EE]]+Table1[[#This Row],[Puntaje_PE]]+Table1[[#This Row],[Puntaje_ET]]</f>
        <v>0</v>
      </c>
    </row>
    <row r="4" spans="1:10" x14ac:dyDescent="0.25">
      <c r="A4" s="70">
        <v>2</v>
      </c>
      <c r="B4" s="27" t="s">
        <v>17</v>
      </c>
      <c r="C4" s="4" t="s">
        <v>15</v>
      </c>
      <c r="D4" s="4" t="s">
        <v>16</v>
      </c>
      <c r="E4" s="9">
        <v>30</v>
      </c>
      <c r="F4" s="6">
        <v>106736000</v>
      </c>
      <c r="G4" s="8">
        <v>49</v>
      </c>
      <c r="H4" s="8" t="s">
        <v>16</v>
      </c>
      <c r="I4" s="79">
        <v>20</v>
      </c>
      <c r="J4" s="85">
        <f>Table1[[#This Row],[Puntaje_EE]]+Table1[[#This Row],[Puntaje_PE]]+Table1[[#This Row],[Puntaje_ET]]</f>
        <v>99</v>
      </c>
    </row>
    <row r="5" spans="1:10" x14ac:dyDescent="0.25">
      <c r="A5" s="70">
        <v>3</v>
      </c>
      <c r="B5" s="27" t="s">
        <v>18</v>
      </c>
      <c r="C5" s="4" t="s">
        <v>15</v>
      </c>
      <c r="D5" s="4" t="s">
        <v>16</v>
      </c>
      <c r="E5" s="9">
        <v>30</v>
      </c>
      <c r="F5" s="7">
        <v>96884000</v>
      </c>
      <c r="G5" s="8">
        <v>50</v>
      </c>
      <c r="H5" s="8" t="s">
        <v>16</v>
      </c>
      <c r="I5" s="79">
        <v>14</v>
      </c>
      <c r="J5" s="30">
        <f>Table1[[#This Row],[Puntaje_EE]]+Table1[[#This Row],[Puntaje_PE]]+Table1[[#This Row],[Puntaje_ET]]</f>
        <v>94</v>
      </c>
    </row>
    <row r="6" spans="1:10" x14ac:dyDescent="0.25">
      <c r="A6" s="70">
        <v>4</v>
      </c>
      <c r="B6" s="27" t="s">
        <v>19</v>
      </c>
      <c r="C6" s="4" t="s">
        <v>15</v>
      </c>
      <c r="D6" s="5" t="s">
        <v>16</v>
      </c>
      <c r="E6" s="9">
        <v>15</v>
      </c>
      <c r="F6" s="6">
        <v>109318000</v>
      </c>
      <c r="G6" s="8">
        <v>48</v>
      </c>
      <c r="H6" s="8" t="s">
        <v>16</v>
      </c>
      <c r="I6" s="79">
        <v>8</v>
      </c>
      <c r="J6" s="30">
        <f>Table1[[#This Row],[Puntaje_EE]]+Table1[[#This Row],[Puntaje_PE]]+Table1[[#This Row],[Puntaje_ET]]</f>
        <v>71</v>
      </c>
    </row>
    <row r="7" spans="1:10" x14ac:dyDescent="0.25">
      <c r="A7" s="70">
        <v>5</v>
      </c>
      <c r="B7" s="27" t="s">
        <v>20</v>
      </c>
      <c r="C7" s="4" t="s">
        <v>15</v>
      </c>
      <c r="D7" s="5" t="s">
        <v>16</v>
      </c>
      <c r="E7" s="79">
        <v>0</v>
      </c>
      <c r="F7" s="7">
        <v>100376500</v>
      </c>
      <c r="G7" s="8">
        <v>0</v>
      </c>
      <c r="H7" s="8" t="s">
        <v>272</v>
      </c>
      <c r="I7" s="79">
        <v>0</v>
      </c>
      <c r="J7" s="30">
        <f>Table1[[#This Row],[Puntaje_EE]]+Table1[[#This Row],[Puntaje_PE]]+Table1[[#This Row],[Puntaje_ET]]</f>
        <v>0</v>
      </c>
    </row>
    <row r="8" spans="1:10" x14ac:dyDescent="0.25">
      <c r="E8" s="3"/>
    </row>
    <row r="12" spans="1:10" x14ac:dyDescent="0.25">
      <c r="J12" s="1" t="s">
        <v>270</v>
      </c>
    </row>
  </sheetData>
  <phoneticPr fontId="5" type="noConversion"/>
  <conditionalFormatting sqref="J3:J7">
    <cfRule type="cellIs" dxfId="500" priority="21" operator="greaterThan">
      <formula>100</formula>
    </cfRule>
  </conditionalFormatting>
  <conditionalFormatting sqref="I3:I7">
    <cfRule type="cellIs" dxfId="499" priority="18" operator="greaterThan">
      <formula>30</formula>
    </cfRule>
  </conditionalFormatting>
  <conditionalFormatting sqref="E3:E7">
    <cfRule type="cellIs" dxfId="498" priority="8" operator="greaterThan">
      <formula>30</formula>
    </cfRule>
  </conditionalFormatting>
  <conditionalFormatting sqref="G3:H7">
    <cfRule type="cellIs" dxfId="497" priority="1" operator="greaterThan">
      <formula>40</formula>
    </cfRule>
  </conditionalFormatting>
  <dataValidations count="1">
    <dataValidation type="list" allowBlank="1" showInputMessage="1" showErrorMessage="1" sqref="D3:D7">
      <formula1>"Cumple,No Cumple"</formula1>
    </dataValidation>
  </dataValidations>
  <pageMargins left="0.25" right="0.25" top="0.75" bottom="0.75" header="0.3" footer="0.3"/>
  <pageSetup scale="6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39"/>
  <sheetViews>
    <sheetView showGridLines="0" zoomScale="90" zoomScaleNormal="100" workbookViewId="0">
      <pane ySplit="3" topLeftCell="A4" activePane="bottomLeft" state="frozen"/>
      <selection pane="bottomLeft" activeCell="B6" sqref="B6"/>
    </sheetView>
  </sheetViews>
  <sheetFormatPr baseColWidth="10" defaultColWidth="11.28515625" defaultRowHeight="15" outlineLevelRow="1" x14ac:dyDescent="0.25"/>
  <cols>
    <col min="1" max="1" width="13.140625" style="10" bestFit="1" customWidth="1"/>
    <col min="2" max="2" width="40.7109375" style="10" customWidth="1"/>
    <col min="3" max="3" width="25.28515625" style="10" bestFit="1" customWidth="1"/>
    <col min="4" max="4" width="16.28515625" style="10" bestFit="1" customWidth="1"/>
    <col min="5" max="6" width="15.140625" style="10" bestFit="1" customWidth="1"/>
    <col min="7" max="7" width="12.42578125" style="10" bestFit="1" customWidth="1"/>
    <col min="8" max="8" width="12.28515625" style="10" customWidth="1"/>
    <col min="9" max="9" width="28.7109375" style="10" customWidth="1"/>
    <col min="10" max="11" width="11.28515625" style="10"/>
    <col min="12" max="12" width="14" style="10" customWidth="1"/>
    <col min="13" max="16384" width="11.28515625" style="10"/>
  </cols>
  <sheetData>
    <row r="1" spans="1:11" ht="114.95" customHeight="1" x14ac:dyDescent="0.25">
      <c r="A1" s="11" t="s">
        <v>0</v>
      </c>
      <c r="B1" s="14" t="s">
        <v>21</v>
      </c>
      <c r="C1" s="10" t="s">
        <v>22</v>
      </c>
      <c r="D1" s="86"/>
      <c r="E1" s="86"/>
      <c r="F1" s="86"/>
      <c r="G1" s="86"/>
      <c r="H1" s="87" t="s">
        <v>23</v>
      </c>
      <c r="I1" s="87"/>
    </row>
    <row r="3" spans="1:11" ht="30" x14ac:dyDescent="0.25">
      <c r="A3" s="11" t="s">
        <v>24</v>
      </c>
      <c r="B3" s="19">
        <f>877803</f>
        <v>877803</v>
      </c>
      <c r="C3" s="11" t="s">
        <v>25</v>
      </c>
      <c r="D3" s="19">
        <v>102854</v>
      </c>
    </row>
    <row r="4" spans="1:11" x14ac:dyDescent="0.25">
      <c r="A4" s="20" t="s">
        <v>26</v>
      </c>
      <c r="B4" s="21" t="s">
        <v>27</v>
      </c>
      <c r="C4" s="11"/>
      <c r="D4" s="18"/>
    </row>
    <row r="5" spans="1:11" outlineLevel="1" x14ac:dyDescent="0.25">
      <c r="A5" s="10" t="s">
        <v>28</v>
      </c>
      <c r="B5" s="10" t="s">
        <v>29</v>
      </c>
      <c r="C5" s="10" t="s">
        <v>30</v>
      </c>
      <c r="D5" s="10" t="s">
        <v>31</v>
      </c>
      <c r="E5" s="10" t="s">
        <v>32</v>
      </c>
      <c r="F5" s="10" t="s">
        <v>33</v>
      </c>
      <c r="G5" s="10" t="s">
        <v>34</v>
      </c>
      <c r="H5" s="10" t="s">
        <v>35</v>
      </c>
      <c r="I5" s="10" t="s">
        <v>36</v>
      </c>
      <c r="J5" s="10" t="s">
        <v>37</v>
      </c>
      <c r="K5" s="10" t="s">
        <v>38</v>
      </c>
    </row>
    <row r="6" spans="1:11" ht="105" outlineLevel="1" x14ac:dyDescent="0.25">
      <c r="A6" s="10">
        <v>1</v>
      </c>
      <c r="B6" s="10" t="s">
        <v>39</v>
      </c>
      <c r="C6" s="12">
        <v>27700000</v>
      </c>
      <c r="D6" s="52">
        <v>1</v>
      </c>
      <c r="E6" s="13">
        <f>(tblRH_EE_Inerco[[#This Row],[Valor '[COP$']]]*tblRH_EE_Inerco[[#This Row],[Participación '[%']]])/$B$3</f>
        <v>31.556055288031597</v>
      </c>
      <c r="F6" s="51">
        <v>41864</v>
      </c>
      <c r="G6" s="51">
        <v>42092</v>
      </c>
      <c r="H6" s="54">
        <f>DAYS360(tblRH_EE_Inerco[[#This Row],[Fecha_inicio]],tblRH_EE_Inerco[[#This Row],[Fecha_final]])/360</f>
        <v>0.62777777777777777</v>
      </c>
      <c r="I6" s="10" t="s">
        <v>40</v>
      </c>
      <c r="J6" s="10" t="s">
        <v>41</v>
      </c>
      <c r="K6" s="10" t="s">
        <v>42</v>
      </c>
    </row>
    <row r="7" spans="1:11" ht="105" outlineLevel="1" x14ac:dyDescent="0.25">
      <c r="A7" s="10">
        <v>2</v>
      </c>
      <c r="B7" s="10" t="s">
        <v>43</v>
      </c>
      <c r="C7" s="12">
        <v>54000000</v>
      </c>
      <c r="D7" s="52">
        <v>1</v>
      </c>
      <c r="E7" s="13">
        <f>(tblRH_EE_Inerco[[#This Row],[Valor '[COP$']]]*tblRH_EE_Inerco[[#This Row],[Participación '[%']]])/$B$3</f>
        <v>61.517219695079646</v>
      </c>
      <c r="F7" s="51">
        <v>42300</v>
      </c>
      <c r="G7" s="51">
        <v>42356</v>
      </c>
      <c r="H7" s="54">
        <f>DAYS360(tblRH_EE_Inerco[[#This Row],[Fecha_inicio]],tblRH_EE_Inerco[[#This Row],[Fecha_final]])/360</f>
        <v>0.15277777777777779</v>
      </c>
      <c r="I7" s="10" t="s">
        <v>44</v>
      </c>
      <c r="J7" s="10" t="s">
        <v>45</v>
      </c>
      <c r="K7" s="10" t="s">
        <v>42</v>
      </c>
    </row>
    <row r="8" spans="1:11" ht="105" outlineLevel="1" x14ac:dyDescent="0.25">
      <c r="A8" s="10">
        <v>3</v>
      </c>
      <c r="B8" s="10" t="s">
        <v>46</v>
      </c>
      <c r="C8" s="12">
        <v>117000000</v>
      </c>
      <c r="D8" s="52">
        <v>1</v>
      </c>
      <c r="E8" s="13">
        <f>(tblRH_EE_Inerco[[#This Row],[Valor '[COP$']]]*tblRH_EE_Inerco[[#This Row],[Participación '[%']]])/$B$3</f>
        <v>133.28730933933923</v>
      </c>
      <c r="F8" s="51">
        <v>42464</v>
      </c>
      <c r="G8" s="51">
        <v>42735</v>
      </c>
      <c r="H8" s="54">
        <f>DAYS360(tblRH_EE_Inerco[[#This Row],[Fecha_inicio]],tblRH_EE_Inerco[[#This Row],[Fecha_final]])/360</f>
        <v>0.7416666666666667</v>
      </c>
      <c r="I8" s="10" t="s">
        <v>40</v>
      </c>
      <c r="J8" s="10" t="s">
        <v>41</v>
      </c>
      <c r="K8" s="10" t="s">
        <v>42</v>
      </c>
    </row>
    <row r="9" spans="1:11" ht="150" outlineLevel="1" x14ac:dyDescent="0.25">
      <c r="A9" s="10">
        <v>4</v>
      </c>
      <c r="B9" s="10" t="s">
        <v>47</v>
      </c>
      <c r="C9" s="12">
        <v>116000000</v>
      </c>
      <c r="D9" s="52">
        <v>1</v>
      </c>
      <c r="E9" s="13">
        <f>(tblRH_EE_Inerco[[#This Row],[Valor '[COP$']]]*tblRH_EE_Inerco[[#This Row],[Participación '[%']]])/$B$3</f>
        <v>132.14810156720813</v>
      </c>
      <c r="F9" s="51">
        <v>42217</v>
      </c>
      <c r="G9" s="51">
        <v>42948</v>
      </c>
      <c r="H9" s="53">
        <f>DAYS360(tblRH_EE_Inerco[[#This Row],[Fecha_inicio]],tblRH_EE_Inerco[[#This Row],[Fecha_final]])/360</f>
        <v>2</v>
      </c>
      <c r="I9" s="10" t="s">
        <v>48</v>
      </c>
      <c r="J9" s="10" t="s">
        <v>41</v>
      </c>
      <c r="K9" s="10" t="s">
        <v>49</v>
      </c>
    </row>
    <row r="10" spans="1:11" outlineLevel="1" x14ac:dyDescent="0.25">
      <c r="A10" s="10">
        <v>5</v>
      </c>
      <c r="B10" s="10" t="s">
        <v>50</v>
      </c>
      <c r="C10" s="12">
        <v>12000000</v>
      </c>
      <c r="D10" s="52">
        <v>1</v>
      </c>
      <c r="E10" s="13">
        <f>(tblRH_EE_Inerco[[#This Row],[Valor '[COP$']]]*tblRH_EE_Inerco[[#This Row],[Participación '[%']]])/$B$3</f>
        <v>13.670493265573255</v>
      </c>
      <c r="F10" s="51"/>
      <c r="G10" s="51"/>
      <c r="H10" s="51"/>
      <c r="J10" s="10" t="s">
        <v>45</v>
      </c>
      <c r="K10" s="10" t="s">
        <v>41</v>
      </c>
    </row>
    <row r="11" spans="1:11" ht="45" outlineLevel="1" x14ac:dyDescent="0.25">
      <c r="A11" s="15"/>
      <c r="B11" s="15"/>
      <c r="C11" s="16"/>
      <c r="D11" s="15"/>
      <c r="E11" s="76">
        <f>E10+E7</f>
        <v>75.187712960652902</v>
      </c>
      <c r="F11" s="17"/>
      <c r="G11" s="17"/>
      <c r="H11" s="17">
        <f>SUBTOTAL(109,tblRH_EE_Inerco[Duración])</f>
        <v>3.5222222222222221</v>
      </c>
      <c r="I11" s="15" t="s">
        <v>51</v>
      </c>
      <c r="J11" s="15"/>
      <c r="K11" s="15"/>
    </row>
    <row r="13" spans="1:11" x14ac:dyDescent="0.25">
      <c r="A13" s="20" t="s">
        <v>52</v>
      </c>
      <c r="B13" s="21" t="s">
        <v>53</v>
      </c>
      <c r="C13" s="11"/>
      <c r="D13" s="18"/>
    </row>
    <row r="14" spans="1:11" x14ac:dyDescent="0.25">
      <c r="A14" s="10" t="s">
        <v>28</v>
      </c>
      <c r="B14" s="10" t="s">
        <v>29</v>
      </c>
      <c r="C14" s="10" t="s">
        <v>30</v>
      </c>
      <c r="D14" s="10" t="s">
        <v>31</v>
      </c>
      <c r="E14" s="10" t="s">
        <v>32</v>
      </c>
      <c r="F14" s="10" t="s">
        <v>33</v>
      </c>
      <c r="G14" s="10" t="s">
        <v>34</v>
      </c>
      <c r="H14" s="10" t="s">
        <v>35</v>
      </c>
      <c r="I14" s="10" t="s">
        <v>36</v>
      </c>
      <c r="J14" s="10" t="s">
        <v>37</v>
      </c>
      <c r="K14" s="10" t="s">
        <v>38</v>
      </c>
    </row>
    <row r="15" spans="1:11" ht="60" x14ac:dyDescent="0.25">
      <c r="A15" s="10">
        <v>1</v>
      </c>
      <c r="B15" s="10" t="s">
        <v>54</v>
      </c>
      <c r="C15" s="59">
        <v>49949600</v>
      </c>
      <c r="D15" s="52">
        <v>1</v>
      </c>
      <c r="E15" s="13">
        <f>(tblRH_EE_Inerco33[[#This Row],[Valor '[COP$']]]*tblRH_EE_Inerco33[[#This Row],[Participación '[%']]])/$B$3</f>
        <v>56.902972534839819</v>
      </c>
      <c r="F15" s="61">
        <v>41760</v>
      </c>
      <c r="G15" s="61">
        <v>42328</v>
      </c>
      <c r="H15" s="54">
        <f>DAYS360(tblRH_EE_Inerco33[[#This Row],[Fecha_inicio]],tblRH_EE_Inerco33[[#This Row],[Fecha_final]])/360</f>
        <v>1.5527777777777778</v>
      </c>
      <c r="J15" s="10" t="s">
        <v>45</v>
      </c>
      <c r="K15" s="47" t="s">
        <v>55</v>
      </c>
    </row>
    <row r="16" spans="1:11" ht="60" customHeight="1" x14ac:dyDescent="0.25">
      <c r="A16" s="10">
        <v>2</v>
      </c>
      <c r="B16" s="10" t="s">
        <v>56</v>
      </c>
      <c r="C16" s="12">
        <v>80401240</v>
      </c>
      <c r="D16" s="52">
        <v>1</v>
      </c>
      <c r="E16" s="13">
        <f>(tblRH_EE_Inerco33[[#This Row],[Valor '[COP$']]]*tblRH_EE_Inerco33[[#This Row],[Participación '[%']]])/$B$3</f>
        <v>91.593717496978257</v>
      </c>
      <c r="F16" s="61">
        <v>42830</v>
      </c>
      <c r="G16" s="61">
        <v>43348</v>
      </c>
      <c r="H16" s="54">
        <f>DAYS360(tblRH_EE_Inerco33[[#This Row],[Fecha_inicio]],tblRH_EE_Inerco33[[#This Row],[Fecha_final]])/360</f>
        <v>1.4166666666666667</v>
      </c>
      <c r="I16" s="10" t="s">
        <v>57</v>
      </c>
      <c r="J16" s="10" t="s">
        <v>45</v>
      </c>
      <c r="K16" s="47" t="s">
        <v>58</v>
      </c>
    </row>
    <row r="17" spans="1:11" ht="186" customHeight="1" x14ac:dyDescent="0.25">
      <c r="A17" s="10">
        <v>3</v>
      </c>
      <c r="B17" s="10" t="s">
        <v>59</v>
      </c>
      <c r="C17" s="12">
        <v>57120000</v>
      </c>
      <c r="D17" s="52">
        <v>1</v>
      </c>
      <c r="E17" s="13">
        <f>(tblRH_EE_Inerco33[[#This Row],[Valor '[COP$']]]*tblRH_EE_Inerco33[[#This Row],[Participación '[%']]])/$B$3</f>
        <v>65.071547944128696</v>
      </c>
      <c r="F17" s="61">
        <v>43747</v>
      </c>
      <c r="G17" s="61">
        <v>43815</v>
      </c>
      <c r="H17" s="54">
        <f>DAYS360(tblRH_EE_Inerco33[[#This Row],[Fecha_inicio]],tblRH_EE_Inerco33[[#This Row],[Fecha_final]])/360</f>
        <v>0.18611111111111112</v>
      </c>
      <c r="I17" s="10" t="s">
        <v>60</v>
      </c>
      <c r="J17" s="10" t="s">
        <v>45</v>
      </c>
      <c r="K17" s="47" t="s">
        <v>61</v>
      </c>
    </row>
    <row r="18" spans="1:11" x14ac:dyDescent="0.25">
      <c r="A18" s="15"/>
      <c r="B18" s="15"/>
      <c r="C18" s="16"/>
      <c r="D18" s="15"/>
      <c r="E18" s="76">
        <f>SUBTOTAL(109,tblRH_EE_Inerco33[Valor '[SMMLV']])</f>
        <v>213.56823797594677</v>
      </c>
      <c r="F18" s="17"/>
      <c r="G18" s="17"/>
      <c r="H18" s="17">
        <f>SUBTOTAL(109,tblRH_EE_Inerco33[Duración])</f>
        <v>3.1555555555555559</v>
      </c>
      <c r="I18" s="15"/>
      <c r="J18" s="15"/>
      <c r="K18" s="15"/>
    </row>
    <row r="20" spans="1:11" x14ac:dyDescent="0.25">
      <c r="A20" s="20" t="s">
        <v>62</v>
      </c>
      <c r="B20" s="21" t="s">
        <v>63</v>
      </c>
      <c r="C20" s="11"/>
      <c r="D20" s="18"/>
    </row>
    <row r="21" spans="1:11" x14ac:dyDescent="0.25">
      <c r="A21" s="10" t="s">
        <v>28</v>
      </c>
      <c r="B21" s="10" t="s">
        <v>29</v>
      </c>
      <c r="C21" s="10" t="s">
        <v>30</v>
      </c>
      <c r="D21" s="10" t="s">
        <v>31</v>
      </c>
      <c r="E21" s="10" t="s">
        <v>32</v>
      </c>
      <c r="F21" s="10" t="s">
        <v>33</v>
      </c>
      <c r="G21" s="10" t="s">
        <v>34</v>
      </c>
      <c r="H21" s="10" t="s">
        <v>35</v>
      </c>
      <c r="I21" s="10" t="s">
        <v>36</v>
      </c>
      <c r="J21" s="10" t="s">
        <v>37</v>
      </c>
      <c r="K21" s="10" t="s">
        <v>38</v>
      </c>
    </row>
    <row r="22" spans="1:11" ht="75" x14ac:dyDescent="0.25">
      <c r="A22" s="10">
        <v>1</v>
      </c>
      <c r="B22" s="10" t="s">
        <v>64</v>
      </c>
      <c r="C22" s="59">
        <v>211301240</v>
      </c>
      <c r="D22" s="52">
        <v>1</v>
      </c>
      <c r="E22" s="58">
        <f>(tblRH_EE_Inerco3335[[#This Row],[Valor '[COP$']]]*tblRH_EE_Inerco3335[[#This Row],[Participación '[%']]])/$B$3</f>
        <v>240.71601486893985</v>
      </c>
      <c r="F22" s="51">
        <v>42709</v>
      </c>
      <c r="G22" s="51">
        <v>43189</v>
      </c>
      <c r="H22" s="54">
        <f>DAYS360(tblRH_EE_Inerco3335[[#This Row],[Fecha_inicio]],tblRH_EE_Inerco3335[[#This Row],[Fecha_final]])/360</f>
        <v>1.3194444444444444</v>
      </c>
      <c r="I22" s="10" t="s">
        <v>65</v>
      </c>
      <c r="J22" s="10" t="s">
        <v>45</v>
      </c>
      <c r="K22" s="10" t="s">
        <v>66</v>
      </c>
    </row>
    <row r="23" spans="1:11" ht="138.94999999999999" customHeight="1" x14ac:dyDescent="0.25">
      <c r="A23" s="10">
        <v>2</v>
      </c>
      <c r="B23" s="10" t="s">
        <v>67</v>
      </c>
      <c r="C23" s="12">
        <v>170973460</v>
      </c>
      <c r="D23" s="52">
        <v>1</v>
      </c>
      <c r="E23" s="58">
        <f>(tblRH_EE_Inerco3335[[#This Row],[Valor '[COP$']]]*tblRH_EE_Inerco3335[[#This Row],[Participación '[%']]])/$B$3</f>
        <v>194.77429446014654</v>
      </c>
      <c r="F23" s="51">
        <v>42774</v>
      </c>
      <c r="G23" s="51">
        <v>43099</v>
      </c>
      <c r="H23" s="54"/>
      <c r="I23" s="10" t="s">
        <v>68</v>
      </c>
      <c r="J23" s="10" t="s">
        <v>45</v>
      </c>
      <c r="K23" s="10" t="s">
        <v>69</v>
      </c>
    </row>
    <row r="24" spans="1:11" ht="180" x14ac:dyDescent="0.25">
      <c r="A24" s="10">
        <v>3</v>
      </c>
      <c r="B24" s="10" t="s">
        <v>70</v>
      </c>
      <c r="C24" s="12">
        <v>124732000</v>
      </c>
      <c r="D24" s="52">
        <v>1</v>
      </c>
      <c r="E24" s="58">
        <f>(tblRH_EE_Inerco3335[[#This Row],[Valor '[COP$']]]*tblRH_EE_Inerco3335[[#This Row],[Participación '[%']]])/$B$3</f>
        <v>142.09566383345694</v>
      </c>
      <c r="F24" s="51">
        <v>42853</v>
      </c>
      <c r="G24" s="51">
        <v>43646</v>
      </c>
      <c r="H24" s="54">
        <f>DAYS360(tblRH_EE_Inerco3335[[#This Row],[Fecha_inicio]],tblRH_EE_Inerco3335[[#This Row],[Fecha_final]])/360</f>
        <v>2.1722222222222221</v>
      </c>
      <c r="I24" s="10" t="s">
        <v>71</v>
      </c>
      <c r="J24" s="10" t="s">
        <v>45</v>
      </c>
      <c r="K24" s="10" t="s">
        <v>72</v>
      </c>
    </row>
    <row r="25" spans="1:11" x14ac:dyDescent="0.25">
      <c r="A25" s="15"/>
      <c r="B25" s="15"/>
      <c r="C25" s="16"/>
      <c r="D25" s="15"/>
      <c r="E25" s="76">
        <f>SUBTOTAL(109,tblRH_EE_Inerco3335[Valor '[SMMLV']])</f>
        <v>577.58597316254327</v>
      </c>
      <c r="F25" s="17"/>
      <c r="G25" s="17"/>
      <c r="H25" s="17">
        <f>SUBTOTAL(109,tblRH_EE_Inerco3335[Duración])</f>
        <v>3.4916666666666663</v>
      </c>
      <c r="I25" s="15"/>
      <c r="J25" s="15"/>
      <c r="K25" s="15"/>
    </row>
    <row r="27" spans="1:11" x14ac:dyDescent="0.25">
      <c r="A27" s="20" t="s">
        <v>73</v>
      </c>
      <c r="B27" s="21" t="s">
        <v>74</v>
      </c>
      <c r="C27" s="11"/>
      <c r="D27" s="18"/>
    </row>
    <row r="28" spans="1:11" x14ac:dyDescent="0.25">
      <c r="A28" s="10" t="s">
        <v>28</v>
      </c>
      <c r="B28" s="10" t="s">
        <v>29</v>
      </c>
      <c r="C28" s="10" t="s">
        <v>30</v>
      </c>
      <c r="D28" s="10" t="s">
        <v>31</v>
      </c>
      <c r="E28" s="10" t="s">
        <v>32</v>
      </c>
      <c r="F28" s="10" t="s">
        <v>33</v>
      </c>
      <c r="G28" s="10" t="s">
        <v>34</v>
      </c>
      <c r="H28" s="10" t="s">
        <v>35</v>
      </c>
      <c r="I28" s="10" t="s">
        <v>36</v>
      </c>
      <c r="J28" s="10" t="s">
        <v>37</v>
      </c>
      <c r="K28" s="10" t="s">
        <v>38</v>
      </c>
    </row>
    <row r="29" spans="1:11" ht="60" x14ac:dyDescent="0.25">
      <c r="A29" s="10">
        <v>1</v>
      </c>
      <c r="B29" s="10" t="s">
        <v>75</v>
      </c>
      <c r="C29" s="12">
        <v>77742810</v>
      </c>
      <c r="D29" s="52">
        <v>1</v>
      </c>
      <c r="E29" s="58">
        <f>(tblRH_EE_Inerco3338[[#This Row],[Valor '[COP$']]]*tblRH_EE_Inerco3338[[#This Row],[Participación '[%']]])/$B$3</f>
        <v>88.565213379311757</v>
      </c>
      <c r="F29" s="51">
        <v>42371</v>
      </c>
      <c r="G29" s="51">
        <v>43465</v>
      </c>
      <c r="H29" s="54">
        <f>DAYS360(tblRH_EE_Inerco3338[[#This Row],[Fecha_inicio]],tblRH_EE_Inerco3338[[#This Row],[Fecha_final]])/360</f>
        <v>2.9972222222222222</v>
      </c>
      <c r="I29" s="10" t="s">
        <v>57</v>
      </c>
      <c r="J29" s="10" t="s">
        <v>45</v>
      </c>
      <c r="K29" s="10" t="s">
        <v>76</v>
      </c>
    </row>
    <row r="30" spans="1:11" ht="75" x14ac:dyDescent="0.25">
      <c r="A30" s="10">
        <v>2</v>
      </c>
      <c r="B30" s="10" t="s">
        <v>77</v>
      </c>
      <c r="C30" s="12">
        <v>23000000</v>
      </c>
      <c r="D30" s="52">
        <v>1</v>
      </c>
      <c r="E30" s="13">
        <f>(tblRH_EE_Inerco3338[[#This Row],[Valor '[COP$']]]*tblRH_EE_Inerco3338[[#This Row],[Participación '[%']]])/$B$3</f>
        <v>26.201778759015404</v>
      </c>
      <c r="F30" s="51">
        <v>43551</v>
      </c>
      <c r="G30" s="51">
        <v>43707</v>
      </c>
      <c r="H30" s="54">
        <f>DAYS360(tblRH_EE_Inerco3338[[#This Row],[Fecha_inicio]],tblRH_EE_Inerco3338[[#This Row],[Fecha_final]])/360</f>
        <v>0.42499999999999999</v>
      </c>
      <c r="I30" s="10" t="s">
        <v>57</v>
      </c>
      <c r="J30" s="10" t="s">
        <v>45</v>
      </c>
      <c r="K30" s="10" t="s">
        <v>78</v>
      </c>
    </row>
    <row r="31" spans="1:11" ht="51.95" customHeight="1" x14ac:dyDescent="0.25">
      <c r="A31" s="10">
        <v>3</v>
      </c>
      <c r="B31" s="10" t="s">
        <v>79</v>
      </c>
      <c r="C31" s="12">
        <v>6737500</v>
      </c>
      <c r="D31" s="52">
        <v>1</v>
      </c>
      <c r="E31" s="13">
        <f>(tblRH_EE_Inerco3338[[#This Row],[Valor '[COP$']]]*tblRH_EE_Inerco3338[[#This Row],[Participación '[%']]])/$B$3</f>
        <v>7.675412364733317</v>
      </c>
      <c r="F31" s="51">
        <v>43521</v>
      </c>
      <c r="G31" s="51">
        <v>43649</v>
      </c>
      <c r="H31" s="54">
        <f>DAYS360(tblRH_EE_Inerco3338[[#This Row],[Fecha_inicio]],tblRH_EE_Inerco3338[[#This Row],[Fecha_final]])/360</f>
        <v>0.35555555555555557</v>
      </c>
      <c r="J31" s="10" t="s">
        <v>45</v>
      </c>
      <c r="K31" s="10" t="s">
        <v>80</v>
      </c>
    </row>
    <row r="32" spans="1:11" x14ac:dyDescent="0.25">
      <c r="A32" s="15"/>
      <c r="B32" s="15"/>
      <c r="C32" s="16"/>
      <c r="D32" s="15"/>
      <c r="E32" s="76">
        <f>SUBTOTAL(109,tblRH_EE_Inerco3338[Valor '[SMMLV']])</f>
        <v>122.44240450306049</v>
      </c>
      <c r="F32" s="17"/>
      <c r="G32" s="17"/>
      <c r="H32" s="17">
        <f>SUBTOTAL(109,tblRH_EE_Inerco3338[Duración])</f>
        <v>3.7777777777777777</v>
      </c>
      <c r="I32" s="15"/>
      <c r="J32" s="15"/>
      <c r="K32" s="15"/>
    </row>
    <row r="34" spans="1:11" x14ac:dyDescent="0.25">
      <c r="A34" s="20" t="s">
        <v>81</v>
      </c>
      <c r="B34" s="21" t="s">
        <v>20</v>
      </c>
      <c r="C34" s="11"/>
      <c r="D34" s="18"/>
    </row>
    <row r="35" spans="1:11" x14ac:dyDescent="0.25">
      <c r="A35" s="10" t="s">
        <v>28</v>
      </c>
      <c r="B35" s="10" t="s">
        <v>29</v>
      </c>
      <c r="C35" s="10" t="s">
        <v>30</v>
      </c>
      <c r="D35" s="10" t="s">
        <v>31</v>
      </c>
      <c r="E35" s="10" t="s">
        <v>32</v>
      </c>
      <c r="F35" s="10" t="s">
        <v>33</v>
      </c>
      <c r="G35" s="10" t="s">
        <v>34</v>
      </c>
      <c r="H35" s="10" t="s">
        <v>35</v>
      </c>
      <c r="I35" s="10" t="s">
        <v>36</v>
      </c>
      <c r="J35" s="10" t="s">
        <v>37</v>
      </c>
      <c r="K35" s="10" t="s">
        <v>38</v>
      </c>
    </row>
    <row r="36" spans="1:11" ht="150" x14ac:dyDescent="0.25">
      <c r="A36" s="1">
        <v>1</v>
      </c>
      <c r="B36" s="1" t="s">
        <v>83</v>
      </c>
      <c r="C36" s="12">
        <v>30000000</v>
      </c>
      <c r="D36" s="71">
        <v>1</v>
      </c>
      <c r="E36" s="13">
        <f>(tblRH_EE_Inerco3339[[#This Row],[Valor '[COP$']]]*tblRH_EE_Inerco3339[[#This Row],[Participación '[%']]])/$B$3</f>
        <v>34.176233163933141</v>
      </c>
      <c r="F36" s="51">
        <v>40878</v>
      </c>
      <c r="G36" s="51">
        <v>41019</v>
      </c>
      <c r="H36" s="54">
        <f>+DAYS360(tblRH_EE_Inerco3339[[#This Row],[Fecha_inicio]],tblRH_EE_Inerco3339[[#This Row],[Fecha_final]])/360</f>
        <v>0.38611111111111113</v>
      </c>
      <c r="I36" s="1" t="s">
        <v>84</v>
      </c>
      <c r="J36" s="1" t="s">
        <v>45</v>
      </c>
      <c r="K36" s="1" t="s">
        <v>85</v>
      </c>
    </row>
    <row r="37" spans="1:11" ht="90" x14ac:dyDescent="0.25">
      <c r="A37" s="1">
        <v>2</v>
      </c>
      <c r="B37" s="1" t="s">
        <v>86</v>
      </c>
      <c r="C37" s="12">
        <v>758126200</v>
      </c>
      <c r="D37" s="71">
        <v>1</v>
      </c>
      <c r="E37" s="13">
        <f>(tblRH_EE_Inerco3339[[#This Row],[Valor '[COP$']]]*tblRH_EE_Inerco3339[[#This Row],[Participación '[%']]])/$B$3</f>
        <v>863.66325929622019</v>
      </c>
      <c r="F37" s="51">
        <v>41116</v>
      </c>
      <c r="G37" s="51">
        <v>41785</v>
      </c>
      <c r="H37" s="54">
        <f>+DAYS360(tblRH_EE_Inerco3339[[#This Row],[Fecha_inicio]],tblRH_EE_Inerco3339[[#This Row],[Fecha_final]])/360</f>
        <v>1.8333333333333333</v>
      </c>
      <c r="I37" s="1" t="s">
        <v>87</v>
      </c>
      <c r="J37" s="1" t="s">
        <v>45</v>
      </c>
      <c r="K37" s="1" t="s">
        <v>88</v>
      </c>
    </row>
    <row r="38" spans="1:11" ht="180" x14ac:dyDescent="0.25">
      <c r="A38" s="1">
        <v>3</v>
      </c>
      <c r="B38" s="1" t="s">
        <v>89</v>
      </c>
      <c r="C38" s="12">
        <v>418300000</v>
      </c>
      <c r="D38" s="71">
        <v>1</v>
      </c>
      <c r="E38" s="13">
        <f>(tblRH_EE_Inerco3339[[#This Row],[Valor '[COP$']]]*tblRH_EE_Inerco3339[[#This Row],[Participación '[%']]])/$B$3</f>
        <v>476.53061108244106</v>
      </c>
      <c r="F38" s="51">
        <v>42601</v>
      </c>
      <c r="G38" s="51">
        <v>42881</v>
      </c>
      <c r="H38" s="54">
        <f>+DAYS360(tblRH_EE_Inerco3339[[#This Row],[Fecha_inicio]],tblRH_EE_Inerco3339[[#This Row],[Fecha_final]])/360</f>
        <v>0.76944444444444449</v>
      </c>
      <c r="I38" s="1" t="s">
        <v>90</v>
      </c>
      <c r="J38" s="1" t="s">
        <v>41</v>
      </c>
      <c r="K38" s="1"/>
    </row>
    <row r="39" spans="1:11" x14ac:dyDescent="0.25">
      <c r="A39" s="15"/>
      <c r="B39" s="15"/>
      <c r="C39" s="16"/>
      <c r="D39" s="15"/>
      <c r="E39" s="76">
        <f>SUBTOTAL(109,tblRH_EE_Inerco3339[Valor '[SMMLV']])</f>
        <v>1374.3701035425943</v>
      </c>
      <c r="F39" s="17"/>
      <c r="G39" s="17"/>
      <c r="H39" s="17">
        <f>SUBTOTAL(109,tblRH_EE_Inerco3339[Duración])</f>
        <v>2.9888888888888889</v>
      </c>
      <c r="I39" s="15"/>
      <c r="J39" s="15"/>
      <c r="K39" s="15"/>
    </row>
  </sheetData>
  <mergeCells count="3">
    <mergeCell ref="D1:E1"/>
    <mergeCell ref="F1:G1"/>
    <mergeCell ref="H1:I1"/>
  </mergeCells>
  <phoneticPr fontId="5" type="noConversion"/>
  <conditionalFormatting sqref="E11">
    <cfRule type="cellIs" dxfId="474" priority="15" operator="lessThan">
      <formula>100</formula>
    </cfRule>
  </conditionalFormatting>
  <conditionalFormatting sqref="E18">
    <cfRule type="cellIs" dxfId="473" priority="4" operator="lessThan">
      <formula>100</formula>
    </cfRule>
  </conditionalFormatting>
  <conditionalFormatting sqref="E39">
    <cfRule type="cellIs" dxfId="472" priority="1" operator="lessThan">
      <formula>100</formula>
    </cfRule>
  </conditionalFormatting>
  <conditionalFormatting sqref="E25">
    <cfRule type="cellIs" dxfId="471" priority="3" operator="lessThan">
      <formula>100</formula>
    </cfRule>
  </conditionalFormatting>
  <conditionalFormatting sqref="E32">
    <cfRule type="cellIs" dxfId="470" priority="2" operator="lessThan">
      <formula>100</formula>
    </cfRule>
  </conditionalFormatting>
  <dataValidations count="1">
    <dataValidation type="list" allowBlank="1" showInputMessage="1" showErrorMessage="1" sqref="J6:J10 J15:J17 J22:J24 J29:J31 J36:J38">
      <formula1>"Sí,No"</formula1>
    </dataValidation>
  </dataValidations>
  <pageMargins left="0.25" right="0.25" top="0.75" bottom="0.75" header="0.3" footer="0.3"/>
  <pageSetup scale="74" fitToHeight="0" orientation="landscape" r:id="rId1"/>
  <headerFooter>
    <oddFooter>Page &amp;P&amp;R</oddFooter>
  </headerFooter>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27"/>
  <sheetViews>
    <sheetView showGridLines="0" topLeftCell="A15" zoomScale="90" zoomScaleNormal="100" workbookViewId="0">
      <selection activeCell="D20" sqref="D20"/>
    </sheetView>
  </sheetViews>
  <sheetFormatPr baseColWidth="10" defaultColWidth="11.28515625" defaultRowHeight="15" outlineLevelRow="1" x14ac:dyDescent="0.25"/>
  <cols>
    <col min="1" max="1" width="13.140625" style="10" bestFit="1" customWidth="1"/>
    <col min="2" max="2" width="40.7109375" style="10" customWidth="1"/>
    <col min="3" max="3" width="50.7109375" style="10" customWidth="1"/>
    <col min="4" max="4" width="26" style="10" customWidth="1"/>
    <col min="5" max="5" width="40.7109375" style="10" customWidth="1"/>
    <col min="6" max="6" width="9.140625" style="10" bestFit="1" customWidth="1"/>
    <col min="7" max="7" width="20.7109375" style="10" customWidth="1"/>
    <col min="8" max="16384" width="11.28515625" style="10"/>
  </cols>
  <sheetData>
    <row r="1" spans="1:5" ht="75.95" customHeight="1" x14ac:dyDescent="0.25">
      <c r="A1" s="11" t="s">
        <v>91</v>
      </c>
      <c r="B1" s="4" t="s">
        <v>92</v>
      </c>
      <c r="C1" s="80" t="s">
        <v>93</v>
      </c>
      <c r="D1" s="80"/>
    </row>
    <row r="3" spans="1:5" x14ac:dyDescent="0.25">
      <c r="A3" s="20" t="s">
        <v>26</v>
      </c>
      <c r="B3" s="21" t="s">
        <v>27</v>
      </c>
      <c r="C3" s="11"/>
    </row>
    <row r="4" spans="1:5" outlineLevel="1" x14ac:dyDescent="0.25">
      <c r="A4" s="10" t="s">
        <v>28</v>
      </c>
      <c r="B4" s="10" t="s">
        <v>29</v>
      </c>
      <c r="C4" s="10" t="s">
        <v>38</v>
      </c>
      <c r="D4" s="10" t="s">
        <v>94</v>
      </c>
      <c r="E4" s="10" t="s">
        <v>82</v>
      </c>
    </row>
    <row r="5" spans="1:5" ht="75" outlineLevel="1" x14ac:dyDescent="0.25">
      <c r="A5" s="10">
        <v>1</v>
      </c>
      <c r="B5" s="10" t="s">
        <v>95</v>
      </c>
      <c r="C5" s="10" t="s">
        <v>96</v>
      </c>
      <c r="D5" s="10" t="s">
        <v>97</v>
      </c>
      <c r="E5" s="10">
        <v>0</v>
      </c>
    </row>
    <row r="6" spans="1:5" outlineLevel="1" x14ac:dyDescent="0.25"/>
    <row r="7" spans="1:5" outlineLevel="1" x14ac:dyDescent="0.25">
      <c r="A7" s="15"/>
      <c r="B7" s="15"/>
      <c r="C7" s="15"/>
      <c r="D7" s="15"/>
      <c r="E7" s="75">
        <f>SUM(E5:E6)</f>
        <v>0</v>
      </c>
    </row>
    <row r="8" spans="1:5" x14ac:dyDescent="0.25">
      <c r="A8" s="20" t="s">
        <v>52</v>
      </c>
      <c r="B8" s="21" t="s">
        <v>53</v>
      </c>
      <c r="C8" s="11"/>
    </row>
    <row r="9" spans="1:5" outlineLevel="1" x14ac:dyDescent="0.25">
      <c r="A9" s="10" t="s">
        <v>28</v>
      </c>
      <c r="B9" s="10" t="s">
        <v>29</v>
      </c>
      <c r="C9" s="10" t="s">
        <v>38</v>
      </c>
      <c r="D9" s="10" t="s">
        <v>98</v>
      </c>
      <c r="E9" s="10" t="s">
        <v>82</v>
      </c>
    </row>
    <row r="10" spans="1:5" ht="91.5" customHeight="1" outlineLevel="1" x14ac:dyDescent="0.25">
      <c r="A10" s="10">
        <v>1</v>
      </c>
      <c r="B10" s="10" t="s">
        <v>99</v>
      </c>
      <c r="C10" s="10" t="s">
        <v>100</v>
      </c>
      <c r="D10" s="10" t="s">
        <v>101</v>
      </c>
      <c r="E10" s="10">
        <v>15</v>
      </c>
    </row>
    <row r="11" spans="1:5" ht="210" outlineLevel="1" x14ac:dyDescent="0.25">
      <c r="A11" s="10">
        <v>2</v>
      </c>
      <c r="B11" s="10" t="s">
        <v>59</v>
      </c>
      <c r="C11" s="10" t="s">
        <v>102</v>
      </c>
      <c r="D11" s="10" t="s">
        <v>101</v>
      </c>
      <c r="E11" s="10">
        <v>15</v>
      </c>
    </row>
    <row r="12" spans="1:5" outlineLevel="1" x14ac:dyDescent="0.25">
      <c r="A12" s="15"/>
      <c r="B12" s="15"/>
      <c r="C12" s="15"/>
      <c r="D12" s="15"/>
      <c r="E12" s="75">
        <f>SUM(E10:E11)</f>
        <v>30</v>
      </c>
    </row>
    <row r="13" spans="1:5" x14ac:dyDescent="0.25">
      <c r="A13" s="20" t="s">
        <v>62</v>
      </c>
      <c r="B13" s="21" t="s">
        <v>63</v>
      </c>
      <c r="C13" s="11"/>
    </row>
    <row r="14" spans="1:5" outlineLevel="1" x14ac:dyDescent="0.25">
      <c r="A14" s="10" t="s">
        <v>28</v>
      </c>
      <c r="B14" s="10" t="s">
        <v>29</v>
      </c>
      <c r="C14" s="10" t="s">
        <v>38</v>
      </c>
      <c r="D14" s="10" t="s">
        <v>94</v>
      </c>
      <c r="E14" s="10" t="s">
        <v>82</v>
      </c>
    </row>
    <row r="15" spans="1:5" ht="165" customHeight="1" outlineLevel="1" x14ac:dyDescent="0.25">
      <c r="A15" s="10">
        <v>1</v>
      </c>
      <c r="B15" s="10" t="s">
        <v>103</v>
      </c>
      <c r="C15" s="10" t="s">
        <v>104</v>
      </c>
      <c r="D15" s="10" t="s">
        <v>101</v>
      </c>
      <c r="E15" s="10">
        <v>15</v>
      </c>
    </row>
    <row r="16" spans="1:5" ht="75" outlineLevel="1" x14ac:dyDescent="0.25">
      <c r="A16" s="10">
        <v>2</v>
      </c>
      <c r="B16" s="10" t="s">
        <v>105</v>
      </c>
      <c r="C16" s="10" t="s">
        <v>106</v>
      </c>
      <c r="D16" s="10" t="s">
        <v>101</v>
      </c>
      <c r="E16" s="10">
        <v>15</v>
      </c>
    </row>
    <row r="17" spans="1:5" outlineLevel="1" x14ac:dyDescent="0.25">
      <c r="A17" s="15"/>
      <c r="B17" s="15"/>
      <c r="C17" s="15"/>
      <c r="D17" s="15"/>
      <c r="E17" s="83">
        <f>SUM(E15:E16)</f>
        <v>30</v>
      </c>
    </row>
    <row r="18" spans="1:5" x14ac:dyDescent="0.25">
      <c r="A18" s="20" t="s">
        <v>6</v>
      </c>
      <c r="B18" s="21" t="s">
        <v>74</v>
      </c>
      <c r="C18" s="11"/>
    </row>
    <row r="19" spans="1:5" outlineLevel="1" x14ac:dyDescent="0.25">
      <c r="A19" s="10" t="s">
        <v>28</v>
      </c>
      <c r="B19" s="10" t="s">
        <v>29</v>
      </c>
      <c r="C19" s="10" t="s">
        <v>38</v>
      </c>
      <c r="D19" s="10" t="s">
        <v>94</v>
      </c>
      <c r="E19" s="10" t="s">
        <v>82</v>
      </c>
    </row>
    <row r="20" spans="1:5" ht="105" outlineLevel="1" x14ac:dyDescent="0.25">
      <c r="A20" s="10">
        <v>1</v>
      </c>
      <c r="B20" s="10" t="s">
        <v>107</v>
      </c>
      <c r="C20" s="10" t="s">
        <v>108</v>
      </c>
      <c r="D20" s="10" t="s">
        <v>109</v>
      </c>
      <c r="E20" s="10">
        <v>0</v>
      </c>
    </row>
    <row r="21" spans="1:5" ht="120" outlineLevel="1" x14ac:dyDescent="0.25">
      <c r="A21" s="10">
        <v>2</v>
      </c>
      <c r="B21" s="10" t="s">
        <v>110</v>
      </c>
      <c r="C21" s="10" t="s">
        <v>111</v>
      </c>
      <c r="D21" s="10" t="s">
        <v>101</v>
      </c>
      <c r="E21" s="10">
        <v>15</v>
      </c>
    </row>
    <row r="22" spans="1:5" outlineLevel="1" x14ac:dyDescent="0.25">
      <c r="A22" s="15"/>
      <c r="B22" s="15"/>
      <c r="C22" s="15"/>
      <c r="D22" s="15"/>
      <c r="E22" s="83">
        <f>SUM(E20:E21)</f>
        <v>15</v>
      </c>
    </row>
    <row r="23" spans="1:5" x14ac:dyDescent="0.25">
      <c r="A23" s="20" t="s">
        <v>6</v>
      </c>
      <c r="B23" s="21" t="s">
        <v>20</v>
      </c>
      <c r="C23" s="11"/>
    </row>
    <row r="24" spans="1:5" outlineLevel="1" x14ac:dyDescent="0.25">
      <c r="A24" s="10" t="s">
        <v>28</v>
      </c>
      <c r="B24" s="10" t="s">
        <v>29</v>
      </c>
      <c r="C24" s="10" t="s">
        <v>38</v>
      </c>
      <c r="D24" s="10" t="s">
        <v>94</v>
      </c>
      <c r="E24" s="10" t="s">
        <v>82</v>
      </c>
    </row>
    <row r="25" spans="1:5" ht="150" outlineLevel="1" x14ac:dyDescent="0.25">
      <c r="A25" s="10">
        <v>1</v>
      </c>
      <c r="B25" s="10" t="s">
        <v>112</v>
      </c>
      <c r="C25" s="1" t="s">
        <v>269</v>
      </c>
      <c r="D25" s="1" t="s">
        <v>267</v>
      </c>
      <c r="E25" s="1">
        <v>15</v>
      </c>
    </row>
    <row r="26" spans="1:5" ht="150" outlineLevel="1" x14ac:dyDescent="0.25">
      <c r="B26" s="10" t="s">
        <v>113</v>
      </c>
      <c r="C26" s="10" t="s">
        <v>114</v>
      </c>
      <c r="D26" s="1" t="s">
        <v>268</v>
      </c>
      <c r="E26" s="1">
        <v>15</v>
      </c>
    </row>
    <row r="27" spans="1:5" outlineLevel="1" x14ac:dyDescent="0.25">
      <c r="A27" s="15"/>
      <c r="B27" s="15"/>
      <c r="C27" s="15"/>
      <c r="D27" s="15"/>
      <c r="E27" s="75">
        <f>SUM(E25:E26)</f>
        <v>30</v>
      </c>
    </row>
  </sheetData>
  <pageMargins left="0.25" right="0.25" top="0.75" bottom="0.75" header="0.3" footer="0.3"/>
  <pageSetup scale="98" fitToHeight="0" orientation="landscape" r:id="rId1"/>
  <headerFooter>
    <oddFooter>Page &amp;P&amp;R</oddFooter>
  </headerFooter>
  <rowBreaks count="1" manualBreakCount="1">
    <brk id="12" max="4" man="1"/>
  </rowBreaks>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190"/>
  <sheetViews>
    <sheetView showGridLines="0" topLeftCell="B1" zoomScaleNormal="83" workbookViewId="0">
      <pane ySplit="1" topLeftCell="A71" activePane="bottomLeft" state="frozen"/>
      <selection pane="bottomLeft" activeCell="F84" sqref="F84"/>
    </sheetView>
  </sheetViews>
  <sheetFormatPr baseColWidth="10" defaultColWidth="11.28515625" defaultRowHeight="15" x14ac:dyDescent="0.25"/>
  <cols>
    <col min="1" max="1" width="16.7109375" style="10" customWidth="1"/>
    <col min="2" max="2" width="42.42578125" style="10" customWidth="1"/>
    <col min="3" max="3" width="12.7109375" style="10" customWidth="1"/>
    <col min="4" max="4" width="40.7109375" style="10" customWidth="1"/>
    <col min="5" max="5" width="19.42578125" style="10" customWidth="1"/>
    <col min="6" max="6" width="40.7109375" style="10" customWidth="1"/>
    <col min="7" max="7" width="11.7109375" style="10" customWidth="1"/>
    <col min="8" max="8" width="31.7109375" style="10" customWidth="1"/>
    <col min="9" max="16384" width="11.28515625" style="10"/>
  </cols>
  <sheetData>
    <row r="1" spans="1:13" ht="159.94999999999999" customHeight="1" x14ac:dyDescent="0.25">
      <c r="A1" s="11" t="s">
        <v>115</v>
      </c>
      <c r="B1" s="14" t="s">
        <v>116</v>
      </c>
      <c r="D1" s="14" t="s">
        <v>117</v>
      </c>
      <c r="F1" s="55" t="s">
        <v>118</v>
      </c>
      <c r="H1" s="55" t="s">
        <v>119</v>
      </c>
      <c r="I1" s="88" t="s">
        <v>120</v>
      </c>
      <c r="J1" s="87"/>
      <c r="L1" s="81"/>
      <c r="M1" s="81" t="s">
        <v>121</v>
      </c>
    </row>
    <row r="3" spans="1:13" x14ac:dyDescent="0.25">
      <c r="A3" s="20" t="s">
        <v>26</v>
      </c>
      <c r="B3" s="21" t="s">
        <v>27</v>
      </c>
      <c r="C3" s="11"/>
      <c r="D3" s="18"/>
    </row>
    <row r="4" spans="1:13" x14ac:dyDescent="0.25">
      <c r="A4" s="10" t="s">
        <v>122</v>
      </c>
      <c r="B4" s="10" t="s">
        <v>123</v>
      </c>
      <c r="C4" s="10" t="s">
        <v>124</v>
      </c>
      <c r="D4" s="10" t="s">
        <v>125</v>
      </c>
      <c r="E4" s="10" t="s">
        <v>126</v>
      </c>
      <c r="F4" s="10" t="s">
        <v>127</v>
      </c>
      <c r="G4" s="10" t="s">
        <v>128</v>
      </c>
      <c r="H4" s="10" t="s">
        <v>129</v>
      </c>
      <c r="I4" s="10" t="s">
        <v>37</v>
      </c>
      <c r="J4" s="10" t="s">
        <v>38</v>
      </c>
    </row>
    <row r="5" spans="1:13" ht="75" x14ac:dyDescent="0.25">
      <c r="A5" s="1" t="s">
        <v>130</v>
      </c>
      <c r="B5" s="10" t="s">
        <v>131</v>
      </c>
      <c r="D5" s="10" t="s">
        <v>131</v>
      </c>
      <c r="F5" s="10" t="s">
        <v>132</v>
      </c>
      <c r="G5" s="10" t="s">
        <v>41</v>
      </c>
      <c r="H5" s="10" t="s">
        <v>133</v>
      </c>
      <c r="I5" s="10" t="s">
        <v>41</v>
      </c>
      <c r="J5" s="10" t="s">
        <v>134</v>
      </c>
    </row>
    <row r="6" spans="1:13" ht="30" x14ac:dyDescent="0.25">
      <c r="A6" s="1" t="s">
        <v>135</v>
      </c>
      <c r="F6" s="10" t="s">
        <v>136</v>
      </c>
    </row>
    <row r="7" spans="1:13" ht="30" x14ac:dyDescent="0.25">
      <c r="A7" s="15" t="s">
        <v>137</v>
      </c>
      <c r="B7" s="29">
        <f>+E11</f>
        <v>0</v>
      </c>
      <c r="C7" s="10">
        <v>0</v>
      </c>
      <c r="D7" s="29">
        <f>+G11</f>
        <v>0</v>
      </c>
      <c r="E7" s="10">
        <v>0</v>
      </c>
      <c r="F7" s="29">
        <f>+I11</f>
        <v>0</v>
      </c>
      <c r="G7" s="29"/>
      <c r="H7" s="29">
        <f>+K11</f>
        <v>0</v>
      </c>
    </row>
    <row r="8" spans="1:13" x14ac:dyDescent="0.25">
      <c r="A8" s="15"/>
      <c r="B8" s="15"/>
      <c r="C8" s="75">
        <f>SUBTOTAL(109,tblET_Inerco[Puntaje_P1])</f>
        <v>0</v>
      </c>
      <c r="D8" s="15"/>
      <c r="E8" s="75">
        <f>SUBTOTAL(109,tblET_Inerco[Puntaje_P2])</f>
        <v>0</v>
      </c>
      <c r="F8" s="15"/>
      <c r="G8" s="15"/>
      <c r="H8" s="15"/>
      <c r="I8" s="15"/>
      <c r="J8" s="75">
        <f>tblET_Inerco[[#Totals],[Puntaje_P1]]+tblET_Inerco[[#Totals],[Puntaje_P2]]</f>
        <v>0</v>
      </c>
    </row>
    <row r="9" spans="1:13" x14ac:dyDescent="0.25">
      <c r="A9" s="22" t="s">
        <v>123</v>
      </c>
      <c r="B9" s="56" t="s">
        <v>131</v>
      </c>
      <c r="C9" s="15"/>
      <c r="D9" s="15"/>
      <c r="E9" s="15"/>
      <c r="F9" s="15"/>
      <c r="G9" s="15"/>
    </row>
    <row r="10" spans="1:13" x14ac:dyDescent="0.25">
      <c r="A10" s="23" t="s">
        <v>138</v>
      </c>
      <c r="B10" s="15" t="s">
        <v>139</v>
      </c>
      <c r="C10" s="15" t="s">
        <v>140</v>
      </c>
      <c r="D10" s="15" t="s">
        <v>141</v>
      </c>
      <c r="E10" s="15" t="s">
        <v>35</v>
      </c>
      <c r="F10" s="15"/>
      <c r="G10" s="15"/>
    </row>
    <row r="11" spans="1:13" x14ac:dyDescent="0.25">
      <c r="A11" s="4"/>
      <c r="B11" s="15"/>
      <c r="C11" s="24"/>
      <c r="D11" s="24"/>
      <c r="E11" s="25"/>
      <c r="F11" s="15"/>
      <c r="G11" s="15"/>
    </row>
    <row r="12" spans="1:13" x14ac:dyDescent="0.25">
      <c r="A12" s="4"/>
      <c r="B12" s="15"/>
      <c r="C12" s="24"/>
      <c r="D12" s="24"/>
      <c r="E12" s="25"/>
      <c r="F12" s="15"/>
      <c r="G12" s="15"/>
    </row>
    <row r="13" spans="1:13" x14ac:dyDescent="0.25">
      <c r="A13" s="5"/>
      <c r="B13" s="15"/>
      <c r="C13" s="15"/>
      <c r="D13" s="15"/>
      <c r="E13" s="26"/>
      <c r="F13" s="15"/>
      <c r="G13" s="15"/>
    </row>
    <row r="14" spans="1:13" x14ac:dyDescent="0.25">
      <c r="A14" s="22" t="s">
        <v>125</v>
      </c>
      <c r="B14" s="56" t="s">
        <v>131</v>
      </c>
      <c r="C14" s="1"/>
      <c r="D14" s="1"/>
      <c r="E14" s="28"/>
      <c r="F14" s="15"/>
      <c r="G14" s="15"/>
    </row>
    <row r="15" spans="1:13" x14ac:dyDescent="0.25">
      <c r="A15" s="23" t="s">
        <v>138</v>
      </c>
      <c r="B15" s="15" t="s">
        <v>139</v>
      </c>
      <c r="C15" s="15" t="s">
        <v>140</v>
      </c>
      <c r="D15" s="15" t="s">
        <v>141</v>
      </c>
      <c r="E15" s="15" t="s">
        <v>35</v>
      </c>
      <c r="F15" s="15"/>
      <c r="G15" s="15"/>
    </row>
    <row r="16" spans="1:13" x14ac:dyDescent="0.25">
      <c r="A16" s="4"/>
      <c r="B16" s="15"/>
      <c r="C16" s="24"/>
      <c r="D16" s="24"/>
      <c r="E16" s="25"/>
      <c r="F16" s="15"/>
      <c r="G16" s="15"/>
    </row>
    <row r="17" spans="1:10" x14ac:dyDescent="0.25">
      <c r="A17" s="4"/>
      <c r="B17" s="15"/>
      <c r="C17" s="24"/>
      <c r="D17" s="24"/>
      <c r="E17" s="25"/>
      <c r="F17" s="15"/>
      <c r="G17" s="15"/>
    </row>
    <row r="18" spans="1:10" x14ac:dyDescent="0.25">
      <c r="A18" s="27"/>
      <c r="B18" s="1"/>
      <c r="C18" s="1"/>
      <c r="D18" s="1"/>
      <c r="E18" s="29"/>
      <c r="F18" s="15"/>
      <c r="G18" s="15"/>
    </row>
    <row r="19" spans="1:10" x14ac:dyDescent="0.25">
      <c r="A19" s="22" t="s">
        <v>127</v>
      </c>
      <c r="B19" s="56" t="s">
        <v>142</v>
      </c>
      <c r="C19" s="1"/>
      <c r="D19" s="1"/>
      <c r="E19" s="28"/>
    </row>
    <row r="20" spans="1:10" x14ac:dyDescent="0.25">
      <c r="A20" s="23" t="s">
        <v>138</v>
      </c>
      <c r="B20" s="15" t="s">
        <v>139</v>
      </c>
      <c r="C20" s="15" t="s">
        <v>140</v>
      </c>
      <c r="D20" s="15" t="s">
        <v>141</v>
      </c>
      <c r="E20" s="15" t="s">
        <v>35</v>
      </c>
    </row>
    <row r="21" spans="1:10" x14ac:dyDescent="0.25">
      <c r="A21" s="4"/>
      <c r="B21" s="15" t="s">
        <v>143</v>
      </c>
      <c r="C21" s="24"/>
      <c r="D21" s="24"/>
      <c r="E21" s="25"/>
    </row>
    <row r="22" spans="1:10" x14ac:dyDescent="0.25">
      <c r="A22" s="4"/>
      <c r="B22" s="15"/>
      <c r="C22" s="24"/>
      <c r="D22" s="24"/>
      <c r="E22" s="25"/>
    </row>
    <row r="23" spans="1:10" x14ac:dyDescent="0.25">
      <c r="A23" s="27"/>
      <c r="B23" s="1"/>
      <c r="C23" s="1"/>
      <c r="D23" s="1"/>
      <c r="E23" s="29"/>
    </row>
    <row r="25" spans="1:10" x14ac:dyDescent="0.25">
      <c r="A25" s="34" t="s">
        <v>129</v>
      </c>
      <c r="B25" s="56" t="s">
        <v>144</v>
      </c>
      <c r="C25" s="35"/>
      <c r="D25" s="35"/>
      <c r="E25" s="36"/>
    </row>
    <row r="26" spans="1:10" x14ac:dyDescent="0.25">
      <c r="A26" s="37" t="s">
        <v>138</v>
      </c>
      <c r="B26" s="34" t="s">
        <v>139</v>
      </c>
      <c r="C26" s="34" t="s">
        <v>140</v>
      </c>
      <c r="D26" s="34" t="s">
        <v>141</v>
      </c>
      <c r="E26" s="38" t="s">
        <v>35</v>
      </c>
    </row>
    <row r="27" spans="1:10" x14ac:dyDescent="0.25">
      <c r="A27" s="39"/>
      <c r="B27" s="57" t="s">
        <v>145</v>
      </c>
      <c r="C27" s="40"/>
      <c r="D27" s="40"/>
      <c r="E27" s="41"/>
    </row>
    <row r="28" spans="1:10" ht="15.75" thickBot="1" x14ac:dyDescent="0.3">
      <c r="A28" s="39"/>
      <c r="B28" s="35"/>
      <c r="C28" s="40"/>
      <c r="D28" s="40"/>
      <c r="E28" s="41"/>
    </row>
    <row r="29" spans="1:10" ht="15.75" thickTop="1" x14ac:dyDescent="0.25">
      <c r="A29" s="42"/>
      <c r="B29" s="43"/>
      <c r="C29" s="43"/>
      <c r="D29" s="43"/>
      <c r="E29" s="44"/>
    </row>
    <row r="31" spans="1:10" x14ac:dyDescent="0.25">
      <c r="A31" s="20" t="s">
        <v>52</v>
      </c>
      <c r="B31" s="21" t="s">
        <v>53</v>
      </c>
      <c r="C31" s="11"/>
      <c r="D31" s="18"/>
    </row>
    <row r="32" spans="1:10" x14ac:dyDescent="0.25">
      <c r="A32" s="10" t="s">
        <v>122</v>
      </c>
      <c r="B32" s="10" t="s">
        <v>123</v>
      </c>
      <c r="C32" s="10" t="s">
        <v>124</v>
      </c>
      <c r="D32" s="10" t="s">
        <v>125</v>
      </c>
      <c r="E32" s="10" t="s">
        <v>126</v>
      </c>
      <c r="F32" s="10" t="s">
        <v>127</v>
      </c>
      <c r="G32" s="10" t="s">
        <v>37</v>
      </c>
      <c r="H32" s="10" t="s">
        <v>129</v>
      </c>
      <c r="I32" s="10" t="s">
        <v>146</v>
      </c>
      <c r="J32" s="10" t="s">
        <v>38</v>
      </c>
    </row>
    <row r="33" spans="1:10" ht="30" x14ac:dyDescent="0.25">
      <c r="A33" s="1" t="s">
        <v>130</v>
      </c>
      <c r="B33" s="1" t="s">
        <v>147</v>
      </c>
      <c r="C33" s="1"/>
      <c r="D33" s="47" t="s">
        <v>148</v>
      </c>
      <c r="E33" s="1"/>
      <c r="F33" s="1" t="s">
        <v>149</v>
      </c>
      <c r="G33" s="1" t="s">
        <v>15</v>
      </c>
      <c r="H33" s="1" t="s">
        <v>150</v>
      </c>
      <c r="I33" s="1" t="s">
        <v>15</v>
      </c>
      <c r="J33" s="1" t="s">
        <v>151</v>
      </c>
    </row>
    <row r="34" spans="1:10" ht="60" x14ac:dyDescent="0.25">
      <c r="A34" s="1" t="s">
        <v>135</v>
      </c>
      <c r="B34" s="1" t="s">
        <v>152</v>
      </c>
      <c r="C34" s="1"/>
      <c r="D34" s="47" t="s">
        <v>153</v>
      </c>
      <c r="E34" s="1"/>
      <c r="F34" s="1" t="s">
        <v>154</v>
      </c>
      <c r="G34" s="1"/>
      <c r="H34" s="1" t="s">
        <v>155</v>
      </c>
      <c r="I34" s="1"/>
      <c r="J34" s="1" t="s">
        <v>156</v>
      </c>
    </row>
    <row r="35" spans="1:10" ht="30" x14ac:dyDescent="0.25">
      <c r="A35" s="15" t="s">
        <v>137</v>
      </c>
      <c r="B35" s="29">
        <f>E39+E40+E42+E43+E44</f>
        <v>7.927777777777778</v>
      </c>
      <c r="C35" s="15">
        <v>10</v>
      </c>
      <c r="D35" s="29">
        <f>SUBTOTAL(109,tblET_Inerco_P26[Duración])</f>
        <v>9.6416666666666657</v>
      </c>
      <c r="E35" s="15">
        <v>10</v>
      </c>
      <c r="F35" s="64">
        <f>+E61+E62+E63+E64+E65+E66+E67</f>
        <v>6.1472222222222221</v>
      </c>
      <c r="G35" s="64"/>
      <c r="H35" s="64">
        <f>+E72+E73</f>
        <v>2.9416666666666664</v>
      </c>
      <c r="I35" s="64"/>
      <c r="J35" s="15"/>
    </row>
    <row r="36" spans="1:10" x14ac:dyDescent="0.25">
      <c r="A36" s="15"/>
      <c r="B36" s="15"/>
      <c r="C36" s="75">
        <f>SUBTOTAL(109,tblET_Inerco5[Puntaje_P1])</f>
        <v>10</v>
      </c>
      <c r="D36" s="15"/>
      <c r="E36" s="75">
        <f>SUBTOTAL(109,tblET_Inerco5[Puntaje_P2])</f>
        <v>10</v>
      </c>
      <c r="F36" s="15"/>
      <c r="G36" s="15"/>
      <c r="H36" s="15"/>
      <c r="I36" s="15"/>
      <c r="J36" s="75">
        <f>tblET_Inerco5[[#Totals],[Puntaje_P1]]+tblET_Inerco5[[#Totals],[Puntaje_P2]]</f>
        <v>20</v>
      </c>
    </row>
    <row r="37" spans="1:10" x14ac:dyDescent="0.25">
      <c r="A37" s="22" t="s">
        <v>123</v>
      </c>
      <c r="B37" s="56" t="s">
        <v>157</v>
      </c>
      <c r="C37" s="15"/>
      <c r="D37" s="15"/>
      <c r="E37" s="15"/>
      <c r="F37" s="15"/>
      <c r="G37" s="15"/>
    </row>
    <row r="38" spans="1:10" x14ac:dyDescent="0.25">
      <c r="A38" s="23" t="s">
        <v>138</v>
      </c>
      <c r="B38" s="15" t="s">
        <v>139</v>
      </c>
      <c r="C38" s="15" t="s">
        <v>140</v>
      </c>
      <c r="D38" s="15" t="s">
        <v>141</v>
      </c>
      <c r="E38" s="15" t="s">
        <v>35</v>
      </c>
      <c r="F38" s="15" t="s">
        <v>281</v>
      </c>
      <c r="G38" s="15"/>
    </row>
    <row r="39" spans="1:10" ht="270" x14ac:dyDescent="0.25">
      <c r="A39" s="27">
        <v>1</v>
      </c>
      <c r="B39" s="27" t="s">
        <v>158</v>
      </c>
      <c r="C39" s="63">
        <v>42044</v>
      </c>
      <c r="D39" s="63">
        <v>43990</v>
      </c>
      <c r="E39" s="41">
        <f t="shared" ref="E39:E44" si="0">+DAYS360(C39,D39)/360</f>
        <v>5.3305555555555557</v>
      </c>
      <c r="F39" s="15"/>
      <c r="G39" s="15"/>
    </row>
    <row r="40" spans="1:10" ht="105" x14ac:dyDescent="0.25">
      <c r="A40" s="4">
        <v>2</v>
      </c>
      <c r="B40" s="15" t="s">
        <v>159</v>
      </c>
      <c r="C40" s="24">
        <v>40312</v>
      </c>
      <c r="D40" s="24">
        <v>41029</v>
      </c>
      <c r="E40" s="25">
        <f t="shared" si="0"/>
        <v>1.961111111111111</v>
      </c>
      <c r="F40" s="15"/>
      <c r="G40" s="15"/>
    </row>
    <row r="41" spans="1:10" ht="30" x14ac:dyDescent="0.25">
      <c r="A41" s="4"/>
      <c r="B41" s="15" t="s">
        <v>293</v>
      </c>
      <c r="C41" s="24">
        <v>41091</v>
      </c>
      <c r="D41" s="24">
        <v>41565</v>
      </c>
      <c r="E41" s="25">
        <f t="shared" si="0"/>
        <v>1.2972222222222223</v>
      </c>
      <c r="F41" s="15"/>
      <c r="G41" s="15"/>
    </row>
    <row r="42" spans="1:10" ht="45" x14ac:dyDescent="0.25">
      <c r="A42" s="4">
        <v>3</v>
      </c>
      <c r="B42" s="15" t="s">
        <v>160</v>
      </c>
      <c r="C42" s="24"/>
      <c r="D42" s="24"/>
      <c r="E42" s="25">
        <f t="shared" si="0"/>
        <v>0</v>
      </c>
      <c r="F42" s="15" t="s">
        <v>294</v>
      </c>
      <c r="G42" s="15"/>
    </row>
    <row r="43" spans="1:10" ht="45" x14ac:dyDescent="0.25">
      <c r="A43" s="4">
        <v>4</v>
      </c>
      <c r="B43" s="15" t="s">
        <v>161</v>
      </c>
      <c r="C43" s="24">
        <v>41579</v>
      </c>
      <c r="D43" s="24">
        <v>41730</v>
      </c>
      <c r="E43" s="25">
        <f t="shared" si="0"/>
        <v>0.41666666666666669</v>
      </c>
      <c r="F43" s="15"/>
      <c r="G43" s="15"/>
    </row>
    <row r="44" spans="1:10" ht="75" x14ac:dyDescent="0.25">
      <c r="A44" s="4">
        <v>5</v>
      </c>
      <c r="B44" s="15" t="s">
        <v>162</v>
      </c>
      <c r="C44" s="24">
        <v>41802</v>
      </c>
      <c r="D44" s="24">
        <v>41883</v>
      </c>
      <c r="E44" s="25">
        <f t="shared" si="0"/>
        <v>0.21944444444444444</v>
      </c>
      <c r="F44" s="15"/>
      <c r="G44" s="15"/>
    </row>
    <row r="45" spans="1:10" x14ac:dyDescent="0.25">
      <c r="A45" s="5"/>
      <c r="B45" s="15"/>
      <c r="C45" s="15"/>
      <c r="D45" s="15"/>
      <c r="E45" s="26">
        <f>SUBTOTAL(109,tblET_Inerco_P17[Duración])</f>
        <v>9.2249999999999996</v>
      </c>
      <c r="F45" s="15"/>
      <c r="G45" s="15"/>
    </row>
    <row r="46" spans="1:10" x14ac:dyDescent="0.25">
      <c r="A46" s="22" t="s">
        <v>125</v>
      </c>
      <c r="B46" s="56" t="s">
        <v>163</v>
      </c>
      <c r="C46" s="1"/>
      <c r="D46" s="1"/>
      <c r="E46" s="28"/>
      <c r="F46" s="15"/>
      <c r="G46" s="15"/>
    </row>
    <row r="47" spans="1:10" x14ac:dyDescent="0.25">
      <c r="A47" s="23" t="s">
        <v>138</v>
      </c>
      <c r="B47" s="15" t="s">
        <v>139</v>
      </c>
      <c r="C47" s="15" t="s">
        <v>140</v>
      </c>
      <c r="D47" s="15" t="s">
        <v>141</v>
      </c>
      <c r="E47" s="15" t="s">
        <v>35</v>
      </c>
      <c r="F47" s="15"/>
    </row>
    <row r="48" spans="1:10" ht="45" x14ac:dyDescent="0.25">
      <c r="A48" s="27">
        <v>1</v>
      </c>
      <c r="B48" s="1" t="s">
        <v>164</v>
      </c>
      <c r="C48" s="63">
        <v>39995</v>
      </c>
      <c r="D48" s="63">
        <v>40724</v>
      </c>
      <c r="E48" s="41">
        <f t="shared" ref="E48:E54" si="1">+DAYS360(C48,D48)/360</f>
        <v>1.9972222222222222</v>
      </c>
      <c r="F48" s="15"/>
    </row>
    <row r="49" spans="1:6" ht="30" x14ac:dyDescent="0.25">
      <c r="A49" s="27"/>
      <c r="B49" s="1" t="s">
        <v>295</v>
      </c>
      <c r="C49" s="63">
        <v>39995</v>
      </c>
      <c r="D49" s="63">
        <v>41638</v>
      </c>
      <c r="E49" s="41">
        <f>+DAYS360(C49,D49)/360</f>
        <v>4.4972222222222218</v>
      </c>
      <c r="F49" s="15"/>
    </row>
    <row r="50" spans="1:6" ht="165" x14ac:dyDescent="0.25">
      <c r="A50" s="27">
        <v>2</v>
      </c>
      <c r="B50" s="1" t="s">
        <v>165</v>
      </c>
      <c r="C50" s="63">
        <v>43038</v>
      </c>
      <c r="D50" s="63">
        <v>43220</v>
      </c>
      <c r="E50" s="25">
        <f t="shared" si="1"/>
        <v>0.5</v>
      </c>
      <c r="F50" s="15"/>
    </row>
    <row r="51" spans="1:6" x14ac:dyDescent="0.25">
      <c r="A51" s="27"/>
      <c r="B51" s="1"/>
      <c r="C51" s="63"/>
      <c r="D51" s="63"/>
      <c r="E51" s="25">
        <f>+DAYS360(C51,D51)/360</f>
        <v>0</v>
      </c>
      <c r="F51" s="15"/>
    </row>
    <row r="52" spans="1:6" ht="33.950000000000003" customHeight="1" x14ac:dyDescent="0.25">
      <c r="A52" s="27">
        <v>4</v>
      </c>
      <c r="B52" s="15" t="s">
        <v>166</v>
      </c>
      <c r="C52" s="63">
        <v>42248</v>
      </c>
      <c r="D52" s="63">
        <v>42429</v>
      </c>
      <c r="E52" s="25">
        <f t="shared" si="1"/>
        <v>0.49444444444444446</v>
      </c>
      <c r="F52" s="15"/>
    </row>
    <row r="53" spans="1:6" ht="15.95" customHeight="1" x14ac:dyDescent="0.25">
      <c r="A53" s="5"/>
      <c r="B53" s="15"/>
      <c r="C53" s="24">
        <v>42129</v>
      </c>
      <c r="D53" s="24">
        <v>42246</v>
      </c>
      <c r="E53" s="25">
        <f>+DAYS360(C53,D53)/360</f>
        <v>0.31944444444444442</v>
      </c>
      <c r="F53" s="15"/>
    </row>
    <row r="54" spans="1:6" ht="30" x14ac:dyDescent="0.25">
      <c r="A54" s="4">
        <v>5</v>
      </c>
      <c r="B54" s="15" t="s">
        <v>167</v>
      </c>
      <c r="C54" s="24">
        <v>42461</v>
      </c>
      <c r="D54" s="24">
        <v>42726</v>
      </c>
      <c r="E54" s="25">
        <f t="shared" si="1"/>
        <v>0.72499999999999998</v>
      </c>
      <c r="F54" s="15"/>
    </row>
    <row r="55" spans="1:6" ht="225.95" customHeight="1" x14ac:dyDescent="0.25">
      <c r="A55" s="4">
        <v>6</v>
      </c>
      <c r="B55" s="15" t="s">
        <v>168</v>
      </c>
      <c r="C55" s="24">
        <v>43269</v>
      </c>
      <c r="D55" s="24">
        <v>43524</v>
      </c>
      <c r="E55" s="25">
        <f>+DAYS360(C55,D55)/360</f>
        <v>0.69444444444444442</v>
      </c>
      <c r="F55" s="15"/>
    </row>
    <row r="56" spans="1:6" ht="66" customHeight="1" x14ac:dyDescent="0.25">
      <c r="A56" s="4">
        <v>7</v>
      </c>
      <c r="B56" s="15" t="s">
        <v>169</v>
      </c>
      <c r="C56" s="24">
        <v>40816</v>
      </c>
      <c r="D56" s="24">
        <v>40928</v>
      </c>
      <c r="E56" s="25">
        <f>+DAYS360(C56,D56)/360</f>
        <v>0.30555555555555558</v>
      </c>
      <c r="F56" s="15"/>
    </row>
    <row r="57" spans="1:6" ht="270" x14ac:dyDescent="0.25">
      <c r="A57" s="4">
        <v>8</v>
      </c>
      <c r="B57" s="15" t="s">
        <v>170</v>
      </c>
      <c r="C57" s="24">
        <v>43776</v>
      </c>
      <c r="D57" s="24">
        <v>43815</v>
      </c>
      <c r="E57" s="25">
        <f>+DAYS360(C57,D57)/360</f>
        <v>0.10833333333333334</v>
      </c>
      <c r="F57" s="15"/>
    </row>
    <row r="58" spans="1:6" x14ac:dyDescent="0.25">
      <c r="A58" s="27"/>
      <c r="B58" s="1"/>
      <c r="C58" s="1"/>
      <c r="D58" s="1"/>
      <c r="E58" s="29">
        <f>SUBTOTAL(109,tblET_Inerco_P26[Duración])</f>
        <v>9.6416666666666657</v>
      </c>
      <c r="F58" s="15"/>
    </row>
    <row r="59" spans="1:6" x14ac:dyDescent="0.25">
      <c r="A59" s="22" t="s">
        <v>127</v>
      </c>
      <c r="B59" s="56" t="s">
        <v>171</v>
      </c>
      <c r="C59" s="1"/>
      <c r="D59" s="1"/>
      <c r="E59" s="28"/>
    </row>
    <row r="60" spans="1:6" x14ac:dyDescent="0.25">
      <c r="A60" s="23" t="s">
        <v>138</v>
      </c>
      <c r="B60" s="15" t="s">
        <v>139</v>
      </c>
      <c r="C60" s="15" t="s">
        <v>140</v>
      </c>
      <c r="D60" s="15" t="s">
        <v>141</v>
      </c>
      <c r="E60" s="15" t="s">
        <v>35</v>
      </c>
    </row>
    <row r="61" spans="1:6" ht="45" x14ac:dyDescent="0.25">
      <c r="A61" s="27">
        <v>1</v>
      </c>
      <c r="B61" s="1" t="s">
        <v>172</v>
      </c>
      <c r="C61" s="63">
        <v>43046</v>
      </c>
      <c r="D61" s="63">
        <v>43220</v>
      </c>
      <c r="E61" s="41">
        <f t="shared" ref="E61:E67" si="2">+DAYS360(C61,D61)/360</f>
        <v>0.48055555555555557</v>
      </c>
    </row>
    <row r="62" spans="1:6" ht="45" x14ac:dyDescent="0.25">
      <c r="A62" s="27">
        <v>2</v>
      </c>
      <c r="B62" s="1" t="s">
        <v>173</v>
      </c>
      <c r="C62" s="63">
        <v>42675</v>
      </c>
      <c r="D62" s="63">
        <v>42767</v>
      </c>
      <c r="E62" s="25">
        <f t="shared" si="2"/>
        <v>0.25</v>
      </c>
    </row>
    <row r="63" spans="1:6" ht="45" x14ac:dyDescent="0.25">
      <c r="A63" s="27">
        <v>3</v>
      </c>
      <c r="B63" s="1" t="s">
        <v>174</v>
      </c>
      <c r="C63" s="63">
        <v>42522</v>
      </c>
      <c r="D63" s="63">
        <v>42583</v>
      </c>
      <c r="E63" s="25">
        <f t="shared" si="2"/>
        <v>0.16666666666666666</v>
      </c>
    </row>
    <row r="64" spans="1:6" ht="60" x14ac:dyDescent="0.25">
      <c r="A64" s="27">
        <v>4</v>
      </c>
      <c r="B64" s="1" t="s">
        <v>175</v>
      </c>
      <c r="C64" s="63">
        <v>42186</v>
      </c>
      <c r="D64" s="63">
        <v>42309</v>
      </c>
      <c r="E64" s="25">
        <f t="shared" si="2"/>
        <v>0.33333333333333331</v>
      </c>
    </row>
    <row r="65" spans="1:10" ht="30" x14ac:dyDescent="0.25">
      <c r="A65" s="27">
        <v>5</v>
      </c>
      <c r="B65" s="1" t="s">
        <v>176</v>
      </c>
      <c r="C65" s="63">
        <v>41852</v>
      </c>
      <c r="D65" s="63">
        <v>41883</v>
      </c>
      <c r="E65" s="25">
        <f t="shared" si="2"/>
        <v>8.3333333333333329E-2</v>
      </c>
    </row>
    <row r="66" spans="1:10" ht="45" x14ac:dyDescent="0.25">
      <c r="A66" s="27">
        <v>6</v>
      </c>
      <c r="B66" s="27" t="s">
        <v>177</v>
      </c>
      <c r="C66" s="63">
        <v>41061</v>
      </c>
      <c r="D66" s="63">
        <v>41244</v>
      </c>
      <c r="E66" s="25">
        <f t="shared" si="2"/>
        <v>0.5</v>
      </c>
    </row>
    <row r="67" spans="1:10" ht="30" x14ac:dyDescent="0.25">
      <c r="A67" s="27">
        <v>7</v>
      </c>
      <c r="B67" s="27" t="s">
        <v>178</v>
      </c>
      <c r="C67" s="63">
        <v>40210</v>
      </c>
      <c r="D67" s="63">
        <v>41791</v>
      </c>
      <c r="E67" s="25">
        <f t="shared" si="2"/>
        <v>4.333333333333333</v>
      </c>
    </row>
    <row r="68" spans="1:10" x14ac:dyDescent="0.25">
      <c r="A68" s="27"/>
      <c r="B68" s="1"/>
      <c r="C68" s="1"/>
      <c r="D68" s="1"/>
      <c r="E68" s="29">
        <f>SUBTOTAL(109,tblET_Inerco_P248[Duración])</f>
        <v>6.1472222222222221</v>
      </c>
    </row>
    <row r="70" spans="1:10" x14ac:dyDescent="0.25">
      <c r="A70" s="34" t="s">
        <v>129</v>
      </c>
      <c r="B70" s="56" t="s">
        <v>179</v>
      </c>
      <c r="C70" s="35"/>
      <c r="D70" s="35"/>
      <c r="E70" s="36"/>
    </row>
    <row r="71" spans="1:10" x14ac:dyDescent="0.25">
      <c r="A71" s="37" t="s">
        <v>138</v>
      </c>
      <c r="B71" s="34" t="s">
        <v>139</v>
      </c>
      <c r="C71" s="34" t="s">
        <v>140</v>
      </c>
      <c r="D71" s="34" t="s">
        <v>141</v>
      </c>
      <c r="E71" s="38" t="s">
        <v>35</v>
      </c>
    </row>
    <row r="72" spans="1:10" x14ac:dyDescent="0.25">
      <c r="A72" s="39">
        <v>1</v>
      </c>
      <c r="B72" s="1" t="s">
        <v>180</v>
      </c>
      <c r="C72" s="40">
        <v>39692</v>
      </c>
      <c r="D72" s="40">
        <v>40179</v>
      </c>
      <c r="E72" s="41">
        <f>+DAYS360(C72,D72)/360</f>
        <v>1.3333333333333333</v>
      </c>
    </row>
    <row r="73" spans="1:10" ht="15.75" thickBot="1" x14ac:dyDescent="0.3">
      <c r="A73" s="39">
        <v>2</v>
      </c>
      <c r="B73" s="1" t="s">
        <v>180</v>
      </c>
      <c r="C73" s="40">
        <v>42128</v>
      </c>
      <c r="D73" s="40">
        <v>42717</v>
      </c>
      <c r="E73" s="41">
        <f>+DAYS360(C73,D73)/360</f>
        <v>1.6083333333333334</v>
      </c>
    </row>
    <row r="74" spans="1:10" ht="15.75" thickTop="1" x14ac:dyDescent="0.25">
      <c r="A74" s="42"/>
      <c r="B74" s="43"/>
      <c r="C74" s="43"/>
      <c r="D74" s="43"/>
      <c r="E74" s="44">
        <f>SUM(E72:E73)</f>
        <v>2.9416666666666664</v>
      </c>
    </row>
    <row r="76" spans="1:10" x14ac:dyDescent="0.25">
      <c r="A76" s="20" t="s">
        <v>62</v>
      </c>
      <c r="B76" s="21" t="s">
        <v>63</v>
      </c>
      <c r="C76" s="11"/>
      <c r="D76" s="18"/>
    </row>
    <row r="77" spans="1:10" x14ac:dyDescent="0.25">
      <c r="A77" s="10" t="s">
        <v>122</v>
      </c>
      <c r="B77" s="10" t="s">
        <v>123</v>
      </c>
      <c r="C77" s="10" t="s">
        <v>124</v>
      </c>
      <c r="D77" s="10" t="s">
        <v>125</v>
      </c>
      <c r="E77" s="10" t="s">
        <v>126</v>
      </c>
      <c r="F77" s="10" t="s">
        <v>127</v>
      </c>
      <c r="G77" s="10" t="s">
        <v>37</v>
      </c>
      <c r="H77" s="10" t="s">
        <v>129</v>
      </c>
      <c r="I77" s="10" t="s">
        <v>146</v>
      </c>
      <c r="J77" s="10" t="s">
        <v>38</v>
      </c>
    </row>
    <row r="78" spans="1:10" ht="30" x14ac:dyDescent="0.25">
      <c r="A78" s="1" t="s">
        <v>130</v>
      </c>
      <c r="B78" s="10" t="s">
        <v>181</v>
      </c>
      <c r="D78" s="10" t="s">
        <v>182</v>
      </c>
      <c r="F78" s="10" t="s">
        <v>183</v>
      </c>
      <c r="G78" s="10" t="s">
        <v>15</v>
      </c>
      <c r="H78" s="10" t="s">
        <v>184</v>
      </c>
      <c r="I78" s="10" t="s">
        <v>15</v>
      </c>
      <c r="J78" s="1" t="s">
        <v>151</v>
      </c>
    </row>
    <row r="79" spans="1:10" ht="30" x14ac:dyDescent="0.25">
      <c r="A79" s="1" t="s">
        <v>135</v>
      </c>
      <c r="B79" s="10" t="s">
        <v>185</v>
      </c>
      <c r="D79" s="10" t="s">
        <v>186</v>
      </c>
      <c r="F79" s="10" t="s">
        <v>187</v>
      </c>
      <c r="H79" s="10" t="s">
        <v>188</v>
      </c>
      <c r="J79" s="1" t="s">
        <v>156</v>
      </c>
    </row>
    <row r="80" spans="1:10" ht="45" x14ac:dyDescent="0.25">
      <c r="A80" s="1" t="s">
        <v>137</v>
      </c>
      <c r="B80" s="65">
        <f>SUBTOTAL(109,tblET_Inerco_P111[Duración])</f>
        <v>9.6</v>
      </c>
      <c r="C80" s="10">
        <v>10</v>
      </c>
      <c r="D80" s="29">
        <f>SUBTOTAL(109,tblET_Inerco_P210[Duración])</f>
        <v>5.791666666666667</v>
      </c>
      <c r="E80" s="10">
        <v>4</v>
      </c>
      <c r="F80" s="66">
        <f>E107+E108+E109+E110+E111</f>
        <v>6.1166666666666663</v>
      </c>
      <c r="H80" s="66">
        <f>E116+E117+E118</f>
        <v>2.8888888888888888</v>
      </c>
      <c r="J80" s="1" t="s">
        <v>189</v>
      </c>
    </row>
    <row r="81" spans="1:10" x14ac:dyDescent="0.25">
      <c r="A81" s="15"/>
      <c r="B81" s="65">
        <f>SUBTOTAL(109,tblET_Inerco9[Profesional 1])</f>
        <v>0</v>
      </c>
      <c r="C81" s="75">
        <f>SUBTOTAL(109,tblET_Inerco9[Puntaje_P1])</f>
        <v>10</v>
      </c>
      <c r="D81" s="65">
        <f>SUBTOTAL(109,tblET_Inerco9[Profesional 2])</f>
        <v>0</v>
      </c>
      <c r="E81" s="75">
        <f>SUBTOTAL(109,tblET_Inerco9[Puntaje_P2])</f>
        <v>4</v>
      </c>
      <c r="F81" s="65">
        <f>SUBTOTAL(109,tblET_Inerco9[Profesional 3])</f>
        <v>6.1166666666666663</v>
      </c>
      <c r="G81" s="15"/>
      <c r="H81" s="65">
        <f>SUBTOTAL(109,tblET_Inerco9[Profesional 4])</f>
        <v>2.8888888888888888</v>
      </c>
      <c r="I81" s="15"/>
      <c r="J81" s="75">
        <f>tblET_Inerco9[[#Totals],[Puntaje_P1]]+tblET_Inerco9[[#Totals],[Puntaje_P2]]</f>
        <v>14</v>
      </c>
    </row>
    <row r="82" spans="1:10" x14ac:dyDescent="0.25">
      <c r="A82" s="22" t="s">
        <v>123</v>
      </c>
      <c r="B82" s="56" t="s">
        <v>190</v>
      </c>
      <c r="C82" s="15"/>
      <c r="D82" s="15"/>
      <c r="E82" s="15"/>
      <c r="F82" s="15"/>
      <c r="G82" s="15"/>
    </row>
    <row r="83" spans="1:10" x14ac:dyDescent="0.25">
      <c r="A83" s="23" t="s">
        <v>138</v>
      </c>
      <c r="B83" s="15" t="s">
        <v>139</v>
      </c>
      <c r="C83" s="15" t="s">
        <v>140</v>
      </c>
      <c r="D83" s="15" t="s">
        <v>141</v>
      </c>
      <c r="E83" s="15" t="s">
        <v>35</v>
      </c>
      <c r="F83" s="15"/>
      <c r="G83" s="15"/>
    </row>
    <row r="84" spans="1:10" ht="405" x14ac:dyDescent="0.25">
      <c r="A84" s="4">
        <v>1</v>
      </c>
      <c r="B84" s="15" t="s">
        <v>191</v>
      </c>
      <c r="C84" s="24">
        <v>40371</v>
      </c>
      <c r="D84" s="24">
        <v>42582</v>
      </c>
      <c r="E84" s="25">
        <f>DAYS360(tblET_Inerco_P111[[#This Row],[Fecha_Inicio]],tblET_Inerco_P111[[#This Row],[Fecha_Final]])/360</f>
        <v>6.052777777777778</v>
      </c>
      <c r="F84" s="15"/>
      <c r="G84" s="15"/>
    </row>
    <row r="85" spans="1:10" ht="30" x14ac:dyDescent="0.25">
      <c r="A85" s="4">
        <v>2</v>
      </c>
      <c r="B85" s="15" t="s">
        <v>275</v>
      </c>
      <c r="C85" s="84">
        <v>38120</v>
      </c>
      <c r="D85" s="24">
        <v>38365</v>
      </c>
      <c r="E85" s="25">
        <f>DAYS360(tblET_Inerco_P111[[#This Row],[Fecha_Inicio]],tblET_Inerco_P111[[#This Row],[Fecha_Final]])/360</f>
        <v>0.66666666666666663</v>
      </c>
      <c r="F85" s="15"/>
      <c r="G85" s="15"/>
    </row>
    <row r="86" spans="1:10" x14ac:dyDescent="0.25">
      <c r="A86" s="4">
        <v>3</v>
      </c>
      <c r="B86" s="15"/>
      <c r="C86" s="24">
        <v>38408</v>
      </c>
      <c r="D86" s="24">
        <v>38665</v>
      </c>
      <c r="E86" s="25">
        <f>DAYS360(tblET_Inerco_P111[[#This Row],[Fecha_Inicio]],tblET_Inerco_P111[[#This Row],[Fecha_Final]])/360</f>
        <v>0.7055555555555556</v>
      </c>
      <c r="F86" s="15"/>
      <c r="G86" s="15"/>
    </row>
    <row r="87" spans="1:10" ht="45" x14ac:dyDescent="0.25">
      <c r="A87" s="4"/>
      <c r="B87" s="15" t="s">
        <v>278</v>
      </c>
      <c r="C87" s="24">
        <v>38769</v>
      </c>
      <c r="D87" s="24">
        <v>39079</v>
      </c>
      <c r="E87" s="25">
        <f>DAYS360(tblET_Inerco_P111[[#This Row],[Fecha_Inicio]],tblET_Inerco_P111[[#This Row],[Fecha_Final]])/360</f>
        <v>0.85277777777777775</v>
      </c>
      <c r="F87" s="15"/>
      <c r="G87" s="15"/>
    </row>
    <row r="88" spans="1:10" ht="75" x14ac:dyDescent="0.25">
      <c r="A88" s="4">
        <v>4</v>
      </c>
      <c r="B88" s="15" t="s">
        <v>274</v>
      </c>
      <c r="C88" s="24">
        <v>38677</v>
      </c>
      <c r="D88" s="24">
        <v>38768</v>
      </c>
      <c r="E88" s="25">
        <f>DAYS360(tblET_Inerco_P111[[#This Row],[Fecha_Inicio]],tblET_Inerco_P111[[#This Row],[Fecha_Final]])/360</f>
        <v>0.24722222222222223</v>
      </c>
      <c r="F88" s="15"/>
      <c r="G88" s="15"/>
    </row>
    <row r="89" spans="1:10" ht="90" x14ac:dyDescent="0.25">
      <c r="A89" s="4">
        <v>5</v>
      </c>
      <c r="B89" s="15" t="s">
        <v>276</v>
      </c>
      <c r="C89" s="24">
        <v>39967</v>
      </c>
      <c r="D89" s="24">
        <v>40359</v>
      </c>
      <c r="E89" s="25">
        <f>DAYS360(tblET_Inerco_P111[[#This Row],[Fecha_Inicio]],tblET_Inerco_P111[[#This Row],[Fecha_Final]])/360</f>
        <v>1.075</v>
      </c>
      <c r="F89" s="15"/>
      <c r="G89" s="15"/>
    </row>
    <row r="90" spans="1:10" x14ac:dyDescent="0.25">
      <c r="A90" s="5"/>
      <c r="B90" s="15"/>
      <c r="C90" s="15"/>
      <c r="D90" s="15"/>
      <c r="E90" s="65">
        <f>SUBTOTAL(109,tblET_Inerco_P111[Duración])</f>
        <v>9.6</v>
      </c>
      <c r="F90" s="15"/>
      <c r="G90" s="15"/>
    </row>
    <row r="91" spans="1:10" x14ac:dyDescent="0.25">
      <c r="A91" s="22" t="s">
        <v>125</v>
      </c>
      <c r="B91" s="56" t="s">
        <v>192</v>
      </c>
      <c r="C91" s="1"/>
      <c r="D91" s="1"/>
      <c r="E91" s="28"/>
      <c r="F91" s="15"/>
      <c r="G91" s="15"/>
    </row>
    <row r="92" spans="1:10" x14ac:dyDescent="0.25">
      <c r="A92" s="23" t="s">
        <v>138</v>
      </c>
      <c r="B92" s="15" t="s">
        <v>139</v>
      </c>
      <c r="C92" s="15" t="s">
        <v>140</v>
      </c>
      <c r="D92" s="15" t="s">
        <v>141</v>
      </c>
      <c r="E92" s="15" t="s">
        <v>35</v>
      </c>
      <c r="F92" s="15" t="s">
        <v>281</v>
      </c>
      <c r="G92" s="15"/>
    </row>
    <row r="93" spans="1:10" ht="45" x14ac:dyDescent="0.25">
      <c r="A93" s="23"/>
      <c r="B93" s="15" t="s">
        <v>279</v>
      </c>
      <c r="C93" s="15"/>
      <c r="D93" s="15"/>
      <c r="E93" s="15">
        <f>(DAYS360(tblET_Inerco_P210[[#This Row],[Fecha_Inicio]],tblET_Inerco_P210[[#This Row],[Fecha_Final]])/360)</f>
        <v>0</v>
      </c>
      <c r="F93" s="15" t="s">
        <v>280</v>
      </c>
      <c r="G93" s="15"/>
    </row>
    <row r="94" spans="1:10" x14ac:dyDescent="0.25">
      <c r="A94" s="23"/>
      <c r="B94" s="15" t="s">
        <v>282</v>
      </c>
      <c r="C94" s="24">
        <v>39753</v>
      </c>
      <c r="D94" s="24">
        <v>40390</v>
      </c>
      <c r="E94" s="15">
        <f>(DAYS360(tblET_Inerco_P210[[#This Row],[Fecha_Inicio]],tblET_Inerco_P210[[#This Row],[Fecha_Final]])/360)</f>
        <v>1.75</v>
      </c>
      <c r="F94" s="15"/>
      <c r="G94" s="15"/>
    </row>
    <row r="95" spans="1:10" ht="30" x14ac:dyDescent="0.25">
      <c r="A95" s="23"/>
      <c r="B95" s="15" t="s">
        <v>283</v>
      </c>
      <c r="C95" s="24"/>
      <c r="D95" s="24"/>
      <c r="E95" s="15">
        <f>(DAYS360(tblET_Inerco_P210[[#This Row],[Fecha_Inicio]],tblET_Inerco_P210[[#This Row],[Fecha_Final]])/360)</f>
        <v>0</v>
      </c>
      <c r="F95" s="15" t="s">
        <v>284</v>
      </c>
      <c r="G95" s="15"/>
    </row>
    <row r="96" spans="1:10" ht="45" x14ac:dyDescent="0.25">
      <c r="A96" s="23"/>
      <c r="B96" s="15" t="s">
        <v>288</v>
      </c>
      <c r="C96" s="24"/>
      <c r="D96" s="24"/>
      <c r="E96" s="15">
        <f>(DAYS360(tblET_Inerco_P210[[#This Row],[Fecha_Inicio]],tblET_Inerco_P210[[#This Row],[Fecha_Final]])/360)</f>
        <v>0</v>
      </c>
      <c r="F96" s="15" t="s">
        <v>289</v>
      </c>
      <c r="G96" s="15"/>
    </row>
    <row r="97" spans="1:7" ht="30" x14ac:dyDescent="0.25">
      <c r="A97" s="23"/>
      <c r="B97" s="15" t="s">
        <v>286</v>
      </c>
      <c r="C97" s="24"/>
      <c r="D97" s="24"/>
      <c r="E97" s="15">
        <f>(DAYS360(tblET_Inerco_P210[[#This Row],[Fecha_Inicio]],tblET_Inerco_P210[[#This Row],[Fecha_Final]])/360)</f>
        <v>0</v>
      </c>
      <c r="F97" s="15" t="s">
        <v>285</v>
      </c>
      <c r="G97" s="15"/>
    </row>
    <row r="98" spans="1:7" ht="408.95" customHeight="1" x14ac:dyDescent="0.25">
      <c r="A98" s="4">
        <v>2</v>
      </c>
      <c r="B98" s="15" t="s">
        <v>193</v>
      </c>
      <c r="C98" s="24">
        <v>42005</v>
      </c>
      <c r="D98" s="24">
        <v>42856</v>
      </c>
      <c r="E98" s="25">
        <f>(DAYS360(tblET_Inerco_P210[[#This Row],[Fecha_Inicio]],tblET_Inerco_P210[[#This Row],[Fecha_Final]])/360)</f>
        <v>2.3333333333333335</v>
      </c>
      <c r="F98" s="15" t="s">
        <v>291</v>
      </c>
      <c r="G98" s="15"/>
    </row>
    <row r="99" spans="1:7" ht="409.5" x14ac:dyDescent="0.25">
      <c r="A99" s="4">
        <v>3</v>
      </c>
      <c r="B99" s="15" t="s">
        <v>194</v>
      </c>
      <c r="C99" s="24">
        <v>41519</v>
      </c>
      <c r="D99" s="24">
        <v>41638</v>
      </c>
      <c r="E99" s="25">
        <f>(DAYS360(tblET_Inerco_P210[[#This Row],[Fecha_Inicio]],tblET_Inerco_P210[[#This Row],[Fecha_Final]])/360)</f>
        <v>0.32777777777777778</v>
      </c>
      <c r="F99" s="15"/>
      <c r="G99" s="15"/>
    </row>
    <row r="100" spans="1:7" ht="75" x14ac:dyDescent="0.25">
      <c r="A100" s="4">
        <v>4</v>
      </c>
      <c r="B100" s="15" t="s">
        <v>195</v>
      </c>
      <c r="C100" s="24">
        <v>41859</v>
      </c>
      <c r="D100" s="24">
        <v>41964</v>
      </c>
      <c r="E100" s="25">
        <f>(DAYS360(tblET_Inerco_P210[[#This Row],[Fecha_Inicio]],tblET_Inerco_P210[[#This Row],[Fecha_Final]])/360)</f>
        <v>0.28611111111111109</v>
      </c>
      <c r="F100" s="15"/>
      <c r="G100" s="15"/>
    </row>
    <row r="101" spans="1:7" ht="45" x14ac:dyDescent="0.25">
      <c r="A101" s="4">
        <v>5</v>
      </c>
      <c r="B101" s="15" t="s">
        <v>277</v>
      </c>
      <c r="C101" s="24">
        <v>41431</v>
      </c>
      <c r="D101" s="24">
        <v>41818</v>
      </c>
      <c r="E101" s="25">
        <f>(DAYS360(tblET_Inerco_P210[[#This Row],[Fecha_Inicio]],tblET_Inerco_P210[[#This Row],[Fecha_Final]])/360)</f>
        <v>1.0611111111111111</v>
      </c>
      <c r="F101" s="15" t="s">
        <v>287</v>
      </c>
      <c r="G101" s="15"/>
    </row>
    <row r="102" spans="1:7" ht="45" x14ac:dyDescent="0.25">
      <c r="A102" s="4"/>
      <c r="B102" s="15" t="s">
        <v>290</v>
      </c>
      <c r="C102" s="24"/>
      <c r="D102" s="24"/>
      <c r="E102" s="25">
        <f>(DAYS360(tblET_Inerco_P210[[#This Row],[Fecha_Inicio]],tblET_Inerco_P210[[#This Row],[Fecha_Final]])/360)</f>
        <v>0</v>
      </c>
      <c r="F102" s="15" t="s">
        <v>292</v>
      </c>
      <c r="G102" s="15"/>
    </row>
    <row r="103" spans="1:7" ht="45" x14ac:dyDescent="0.25">
      <c r="A103" s="4">
        <v>6</v>
      </c>
      <c r="B103" s="15" t="s">
        <v>196</v>
      </c>
      <c r="C103" s="24">
        <v>41799</v>
      </c>
      <c r="D103" s="24">
        <v>41811</v>
      </c>
      <c r="E103" s="25">
        <f>(DAYS360(tblET_Inerco_P210[[#This Row],[Fecha_Inicio]],tblET_Inerco_P210[[#This Row],[Fecha_Final]])/360)</f>
        <v>3.3333333333333333E-2</v>
      </c>
      <c r="F103" s="15"/>
      <c r="G103" s="15"/>
    </row>
    <row r="104" spans="1:7" x14ac:dyDescent="0.25">
      <c r="A104" s="27"/>
      <c r="B104" s="1"/>
      <c r="C104" s="1"/>
      <c r="D104" s="1"/>
      <c r="E104" s="29">
        <f>SUBTOTAL(109,tblET_Inerco_P210[Duración])</f>
        <v>5.791666666666667</v>
      </c>
      <c r="F104" s="1"/>
      <c r="G104" s="15"/>
    </row>
    <row r="105" spans="1:7" x14ac:dyDescent="0.25">
      <c r="A105" s="22" t="s">
        <v>127</v>
      </c>
      <c r="B105" s="56" t="s">
        <v>197</v>
      </c>
      <c r="C105" s="1"/>
      <c r="D105" s="1"/>
      <c r="E105" s="28"/>
    </row>
    <row r="106" spans="1:7" x14ac:dyDescent="0.25">
      <c r="A106" s="23" t="s">
        <v>138</v>
      </c>
      <c r="B106" s="15" t="s">
        <v>139</v>
      </c>
      <c r="C106" s="15" t="s">
        <v>140</v>
      </c>
      <c r="D106" s="15" t="s">
        <v>141</v>
      </c>
      <c r="E106" s="15" t="s">
        <v>35</v>
      </c>
    </row>
    <row r="107" spans="1:7" ht="315" x14ac:dyDescent="0.25">
      <c r="A107" s="4">
        <v>1</v>
      </c>
      <c r="B107" s="15" t="s">
        <v>198</v>
      </c>
      <c r="C107" s="24">
        <v>43396</v>
      </c>
      <c r="D107" s="24">
        <v>43977</v>
      </c>
      <c r="E107" s="25">
        <f>DAYS360(tblET_Inerco_P2412[[#This Row],[Fecha_Inicio]],tblET_Inerco_P2412[[#This Row],[Fecha_Final]])/360</f>
        <v>1.5916666666666666</v>
      </c>
    </row>
    <row r="108" spans="1:7" ht="270" customHeight="1" x14ac:dyDescent="0.25">
      <c r="A108" s="4">
        <v>2</v>
      </c>
      <c r="B108" s="15" t="s">
        <v>199</v>
      </c>
      <c r="C108" s="24">
        <v>43745</v>
      </c>
      <c r="D108" s="24">
        <v>43821</v>
      </c>
      <c r="E108" s="25">
        <f>DAYS360(tblET_Inerco_P2412[[#This Row],[Fecha_Inicio]],tblET_Inerco_P2412[[#This Row],[Fecha_Final]])/360</f>
        <v>0.20833333333333334</v>
      </c>
    </row>
    <row r="109" spans="1:7" ht="408" customHeight="1" x14ac:dyDescent="0.25">
      <c r="A109" s="4">
        <v>3</v>
      </c>
      <c r="B109" s="15" t="s">
        <v>200</v>
      </c>
      <c r="C109" s="24">
        <v>42830</v>
      </c>
      <c r="D109" s="24">
        <v>43390</v>
      </c>
      <c r="E109" s="25">
        <f>DAYS360(tblET_Inerco_P2412[[#This Row],[Fecha_Inicio]],tblET_Inerco_P2412[[#This Row],[Fecha_Final]])/360</f>
        <v>1.5333333333333334</v>
      </c>
    </row>
    <row r="110" spans="1:7" ht="409.5" x14ac:dyDescent="0.25">
      <c r="A110" s="4"/>
      <c r="B110" s="15" t="s">
        <v>201</v>
      </c>
      <c r="C110" s="24">
        <v>42541</v>
      </c>
      <c r="D110" s="24">
        <v>42768</v>
      </c>
      <c r="E110" s="25">
        <f>DAYS360(tblET_Inerco_P2412[[#This Row],[Fecha_Inicio]],tblET_Inerco_P2412[[#This Row],[Fecha_Final]])/360</f>
        <v>0.6166666666666667</v>
      </c>
    </row>
    <row r="111" spans="1:7" ht="45" x14ac:dyDescent="0.25">
      <c r="A111" s="4"/>
      <c r="B111" s="15" t="s">
        <v>202</v>
      </c>
      <c r="C111" s="24">
        <v>41730</v>
      </c>
      <c r="D111" s="24">
        <v>42522</v>
      </c>
      <c r="E111" s="25">
        <f>DAYS360(tblET_Inerco_P2412[[#This Row],[Fecha_Inicio]],tblET_Inerco_P2412[[#This Row],[Fecha_Final]])/360</f>
        <v>2.1666666666666665</v>
      </c>
    </row>
    <row r="112" spans="1:7" x14ac:dyDescent="0.25">
      <c r="A112" s="27"/>
      <c r="B112" s="1"/>
      <c r="C112" s="1"/>
      <c r="D112" s="1"/>
      <c r="E112" s="29">
        <f>SUBTOTAL(109,tblET_Inerco_P2412[Duración])</f>
        <v>6.1166666666666663</v>
      </c>
    </row>
    <row r="114" spans="1:10" x14ac:dyDescent="0.25">
      <c r="A114" s="34" t="s">
        <v>129</v>
      </c>
      <c r="B114" s="56" t="s">
        <v>203</v>
      </c>
      <c r="C114" s="35"/>
      <c r="D114" s="35"/>
      <c r="E114" s="36"/>
    </row>
    <row r="115" spans="1:10" x14ac:dyDescent="0.25">
      <c r="A115" s="37" t="s">
        <v>138</v>
      </c>
      <c r="B115" s="34" t="s">
        <v>139</v>
      </c>
      <c r="C115" s="34" t="s">
        <v>140</v>
      </c>
      <c r="D115" s="34" t="s">
        <v>141</v>
      </c>
      <c r="E115" s="38" t="s">
        <v>35</v>
      </c>
    </row>
    <row r="116" spans="1:10" ht="105" x14ac:dyDescent="0.25">
      <c r="A116" s="39">
        <v>1</v>
      </c>
      <c r="B116" s="57" t="s">
        <v>204</v>
      </c>
      <c r="C116" s="40">
        <v>42186</v>
      </c>
      <c r="D116" s="40">
        <v>42369</v>
      </c>
      <c r="E116" s="60">
        <f>DAYS360(C116,D116)/360</f>
        <v>0.5</v>
      </c>
    </row>
    <row r="117" spans="1:10" ht="30" x14ac:dyDescent="0.25">
      <c r="A117" s="39">
        <v>2</v>
      </c>
      <c r="B117" s="35" t="s">
        <v>205</v>
      </c>
      <c r="C117" s="40">
        <v>42412</v>
      </c>
      <c r="D117" s="40">
        <v>42760</v>
      </c>
      <c r="E117" s="60">
        <f>DAYS360(C117,D117)/360</f>
        <v>0.95277777777777772</v>
      </c>
    </row>
    <row r="118" spans="1:10" ht="30.75" thickBot="1" x14ac:dyDescent="0.3">
      <c r="A118" s="39">
        <v>3</v>
      </c>
      <c r="B118" s="35" t="s">
        <v>206</v>
      </c>
      <c r="C118" s="40">
        <v>42559</v>
      </c>
      <c r="D118" s="40">
        <v>43084</v>
      </c>
      <c r="E118" s="60">
        <f>DAYS360(C118,D118)/360</f>
        <v>1.4361111111111111</v>
      </c>
    </row>
    <row r="119" spans="1:10" ht="15.75" thickTop="1" x14ac:dyDescent="0.25">
      <c r="A119" s="42"/>
      <c r="B119" s="43"/>
      <c r="C119" s="43"/>
      <c r="D119" s="43"/>
      <c r="E119" s="44">
        <f>SUM(E116:E118)</f>
        <v>2.8888888888888888</v>
      </c>
    </row>
    <row r="121" spans="1:10" x14ac:dyDescent="0.25">
      <c r="A121" s="20" t="s">
        <v>6</v>
      </c>
      <c r="B121" s="69" t="s">
        <v>74</v>
      </c>
      <c r="C121" s="11"/>
      <c r="D121" s="18"/>
    </row>
    <row r="122" spans="1:10" x14ac:dyDescent="0.25">
      <c r="A122" s="10" t="s">
        <v>122</v>
      </c>
      <c r="B122" s="10" t="s">
        <v>123</v>
      </c>
      <c r="C122" s="10" t="s">
        <v>124</v>
      </c>
      <c r="D122" s="10" t="s">
        <v>125</v>
      </c>
      <c r="E122" s="10" t="s">
        <v>126</v>
      </c>
      <c r="F122" s="10" t="s">
        <v>127</v>
      </c>
      <c r="G122" s="10" t="s">
        <v>37</v>
      </c>
      <c r="H122" s="10" t="s">
        <v>129</v>
      </c>
      <c r="I122" s="10" t="s">
        <v>146</v>
      </c>
      <c r="J122" s="10" t="s">
        <v>38</v>
      </c>
    </row>
    <row r="123" spans="1:10" ht="30" x14ac:dyDescent="0.25">
      <c r="A123" s="1" t="s">
        <v>130</v>
      </c>
      <c r="B123" s="10" t="s">
        <v>207</v>
      </c>
      <c r="C123" s="77"/>
      <c r="D123" s="10" t="s">
        <v>208</v>
      </c>
      <c r="E123" s="10">
        <v>0</v>
      </c>
      <c r="F123" s="10" t="s">
        <v>209</v>
      </c>
      <c r="G123" s="10" t="s">
        <v>15</v>
      </c>
      <c r="H123" s="10" t="s">
        <v>210</v>
      </c>
      <c r="I123" s="10" t="s">
        <v>41</v>
      </c>
      <c r="J123" s="1" t="s">
        <v>151</v>
      </c>
    </row>
    <row r="124" spans="1:10" ht="30" x14ac:dyDescent="0.25">
      <c r="A124" s="1" t="s">
        <v>135</v>
      </c>
      <c r="B124" s="10" t="s">
        <v>211</v>
      </c>
      <c r="C124" s="77"/>
      <c r="D124" s="10" t="s">
        <v>211</v>
      </c>
      <c r="F124" s="10" t="s">
        <v>212</v>
      </c>
      <c r="H124" s="10" t="s">
        <v>213</v>
      </c>
      <c r="J124" s="1" t="s">
        <v>156</v>
      </c>
    </row>
    <row r="125" spans="1:10" ht="45" x14ac:dyDescent="0.25">
      <c r="A125" s="1" t="s">
        <v>137</v>
      </c>
      <c r="B125" s="66">
        <f>E129+E130+E131+E132+E133+E134+E135+E136</f>
        <v>5.5</v>
      </c>
      <c r="C125" s="77">
        <v>0</v>
      </c>
      <c r="D125" s="66">
        <f>E140+E141+E142+E143+E144+E145+E146+E147</f>
        <v>8.5027777777777764</v>
      </c>
      <c r="E125" s="10">
        <v>8</v>
      </c>
      <c r="F125" s="66">
        <f>E151+E152+E153+E154+E155+E156+E157+E158</f>
        <v>5.2694444444444439</v>
      </c>
      <c r="H125" s="67">
        <f>E163</f>
        <v>6.1166666666666663</v>
      </c>
      <c r="J125" s="1" t="s">
        <v>189</v>
      </c>
    </row>
    <row r="126" spans="1:10" x14ac:dyDescent="0.25">
      <c r="A126" s="15"/>
      <c r="B126" s="15">
        <f>SUBTOTAL(109,tblET_Inerco13[Profesional 1])</f>
        <v>5.5</v>
      </c>
      <c r="C126" s="78">
        <f>SUBTOTAL(109,tblET_Inerco13[Puntaje_P1])</f>
        <v>0</v>
      </c>
      <c r="D126" s="15"/>
      <c r="E126" s="75">
        <f>SUBTOTAL(109,tblET_Inerco13[Puntaje_P2])</f>
        <v>8</v>
      </c>
      <c r="F126" s="65">
        <f>SUBTOTAL(109,tblET_Inerco13[Profesional 3])</f>
        <v>5.2694444444444439</v>
      </c>
      <c r="G126" s="15"/>
      <c r="H126" s="65">
        <f>SUBTOTAL(109,tblET_Inerco13[Profesional 4])</f>
        <v>6.1166666666666663</v>
      </c>
      <c r="I126" s="15"/>
      <c r="J126" s="75">
        <f>tblET_Inerco13[[#Totals],[Puntaje_P1]]+tblET_Inerco13[[#Totals],[Puntaje_P2]]</f>
        <v>8</v>
      </c>
    </row>
    <row r="127" spans="1:10" x14ac:dyDescent="0.25">
      <c r="A127" s="22" t="s">
        <v>123</v>
      </c>
      <c r="B127" s="56" t="s">
        <v>215</v>
      </c>
      <c r="C127" s="15"/>
      <c r="D127" s="15"/>
      <c r="E127" s="15"/>
      <c r="F127" s="15"/>
      <c r="G127" s="15"/>
    </row>
    <row r="128" spans="1:10" x14ac:dyDescent="0.25">
      <c r="A128" s="23" t="s">
        <v>138</v>
      </c>
      <c r="B128" s="15" t="s">
        <v>139</v>
      </c>
      <c r="C128" s="15" t="s">
        <v>140</v>
      </c>
      <c r="D128" s="15" t="s">
        <v>141</v>
      </c>
      <c r="E128" s="15" t="s">
        <v>35</v>
      </c>
      <c r="F128" s="15"/>
      <c r="G128" s="15"/>
    </row>
    <row r="129" spans="1:7" ht="30" x14ac:dyDescent="0.25">
      <c r="A129" s="4">
        <v>1</v>
      </c>
      <c r="B129" s="15" t="s">
        <v>216</v>
      </c>
      <c r="C129" s="68">
        <v>40193</v>
      </c>
      <c r="D129" s="24">
        <v>40512</v>
      </c>
      <c r="E129" s="60">
        <f t="shared" ref="E129:E136" si="3">DAYS360(C129,D129)/360</f>
        <v>0.875</v>
      </c>
      <c r="F129" s="15"/>
      <c r="G129" s="15"/>
    </row>
    <row r="130" spans="1:7" x14ac:dyDescent="0.25">
      <c r="A130" s="4"/>
      <c r="B130" s="15"/>
      <c r="C130" s="24">
        <v>40560</v>
      </c>
      <c r="D130" s="24">
        <v>40877</v>
      </c>
      <c r="E130" s="25">
        <f t="shared" si="3"/>
        <v>0.86944444444444446</v>
      </c>
      <c r="F130" s="15"/>
      <c r="G130" s="15"/>
    </row>
    <row r="131" spans="1:7" x14ac:dyDescent="0.25">
      <c r="A131" s="4"/>
      <c r="B131" s="15"/>
      <c r="C131" s="24">
        <v>40924</v>
      </c>
      <c r="D131" s="24">
        <v>41243</v>
      </c>
      <c r="E131" s="25">
        <f t="shared" si="3"/>
        <v>0.87222222222222223</v>
      </c>
      <c r="F131" s="15"/>
      <c r="G131" s="15"/>
    </row>
    <row r="132" spans="1:7" ht="105" x14ac:dyDescent="0.25">
      <c r="A132" s="4">
        <v>2</v>
      </c>
      <c r="B132" s="15" t="s">
        <v>217</v>
      </c>
      <c r="C132" s="24">
        <v>41662</v>
      </c>
      <c r="D132" s="24">
        <v>41820</v>
      </c>
      <c r="E132" s="25">
        <f t="shared" si="3"/>
        <v>0.43611111111111112</v>
      </c>
      <c r="F132" s="15"/>
      <c r="G132" s="15"/>
    </row>
    <row r="133" spans="1:7" ht="165" x14ac:dyDescent="0.25">
      <c r="A133" s="4">
        <v>3</v>
      </c>
      <c r="B133" s="15" t="s">
        <v>218</v>
      </c>
      <c r="C133" s="24">
        <v>41876</v>
      </c>
      <c r="D133" s="24">
        <v>42033</v>
      </c>
      <c r="E133" s="25">
        <f t="shared" si="3"/>
        <v>0.42777777777777776</v>
      </c>
      <c r="F133" s="15"/>
      <c r="G133" s="15"/>
    </row>
    <row r="134" spans="1:7" x14ac:dyDescent="0.25">
      <c r="A134" s="4"/>
      <c r="B134" s="15"/>
      <c r="C134" s="24">
        <v>42095</v>
      </c>
      <c r="D134" s="24">
        <v>42379</v>
      </c>
      <c r="E134" s="25">
        <f t="shared" si="3"/>
        <v>0.77500000000000002</v>
      </c>
      <c r="F134" s="15"/>
      <c r="G134" s="15"/>
    </row>
    <row r="135" spans="1:7" x14ac:dyDescent="0.25">
      <c r="A135" s="4"/>
      <c r="B135" s="15"/>
      <c r="C135" s="24">
        <v>42611</v>
      </c>
      <c r="D135" s="24">
        <v>42738</v>
      </c>
      <c r="E135" s="25">
        <f t="shared" si="3"/>
        <v>0.34444444444444444</v>
      </c>
      <c r="F135" s="15"/>
      <c r="G135" s="15"/>
    </row>
    <row r="136" spans="1:7" x14ac:dyDescent="0.25">
      <c r="A136" s="4"/>
      <c r="B136" s="15"/>
      <c r="C136" s="24">
        <v>42773</v>
      </c>
      <c r="D136" s="24">
        <v>43100</v>
      </c>
      <c r="E136" s="25">
        <f t="shared" si="3"/>
        <v>0.9</v>
      </c>
      <c r="F136" s="15"/>
      <c r="G136" s="15"/>
    </row>
    <row r="137" spans="1:7" x14ac:dyDescent="0.25">
      <c r="A137" s="5"/>
      <c r="B137" s="15"/>
      <c r="C137" s="15"/>
      <c r="D137" s="15"/>
      <c r="E137" s="26">
        <f>SUBTOTAL(109,tblET_Inerco_P127[Duración])</f>
        <v>5.5</v>
      </c>
      <c r="F137" s="15"/>
      <c r="G137" s="15"/>
    </row>
    <row r="138" spans="1:7" x14ac:dyDescent="0.25">
      <c r="A138" s="22" t="s">
        <v>125</v>
      </c>
      <c r="B138" s="56" t="s">
        <v>219</v>
      </c>
      <c r="C138" s="1"/>
      <c r="D138" s="1"/>
      <c r="E138" s="28"/>
      <c r="F138" s="15"/>
      <c r="G138" s="15"/>
    </row>
    <row r="139" spans="1:7" x14ac:dyDescent="0.25">
      <c r="A139" s="23" t="s">
        <v>138</v>
      </c>
      <c r="B139" s="15" t="s">
        <v>139</v>
      </c>
      <c r="C139" s="15" t="s">
        <v>140</v>
      </c>
      <c r="D139" s="15" t="s">
        <v>141</v>
      </c>
      <c r="E139" s="15" t="s">
        <v>35</v>
      </c>
      <c r="F139" s="15"/>
      <c r="G139" s="15"/>
    </row>
    <row r="140" spans="1:7" ht="207.95" customHeight="1" x14ac:dyDescent="0.25">
      <c r="A140" s="4"/>
      <c r="B140" s="15" t="s">
        <v>220</v>
      </c>
      <c r="C140" s="24">
        <v>43678</v>
      </c>
      <c r="D140" s="24">
        <v>43830</v>
      </c>
      <c r="E140" s="25">
        <f t="shared" ref="E140:E147" si="4">DAYS360(C140,D140)/360</f>
        <v>0.41666666666666669</v>
      </c>
      <c r="F140" s="15"/>
      <c r="G140" s="15"/>
    </row>
    <row r="141" spans="1:7" ht="294" customHeight="1" x14ac:dyDescent="0.25">
      <c r="A141" s="4">
        <v>2</v>
      </c>
      <c r="B141" s="15" t="s">
        <v>221</v>
      </c>
      <c r="C141" s="24">
        <v>43263</v>
      </c>
      <c r="D141" s="24">
        <v>43626</v>
      </c>
      <c r="E141" s="25">
        <f t="shared" si="4"/>
        <v>0.99444444444444446</v>
      </c>
      <c r="F141" s="15"/>
      <c r="G141" s="15"/>
    </row>
    <row r="142" spans="1:7" ht="114" customHeight="1" x14ac:dyDescent="0.25">
      <c r="A142" s="4">
        <v>3</v>
      </c>
      <c r="B142" s="15" t="s">
        <v>222</v>
      </c>
      <c r="C142" s="24">
        <v>42675</v>
      </c>
      <c r="D142" s="24">
        <v>43235</v>
      </c>
      <c r="E142" s="25">
        <f t="shared" si="4"/>
        <v>1.538888888888889</v>
      </c>
      <c r="F142" s="15"/>
      <c r="G142" s="15"/>
    </row>
    <row r="143" spans="1:7" ht="30" x14ac:dyDescent="0.25">
      <c r="A143" s="4">
        <v>4</v>
      </c>
      <c r="B143" s="15" t="s">
        <v>223</v>
      </c>
      <c r="C143" s="24">
        <v>43378</v>
      </c>
      <c r="D143" s="24">
        <v>43400</v>
      </c>
      <c r="E143" s="25">
        <f t="shared" si="4"/>
        <v>6.1111111111111109E-2</v>
      </c>
      <c r="F143" s="15"/>
      <c r="G143" s="15"/>
    </row>
    <row r="144" spans="1:7" ht="240" customHeight="1" x14ac:dyDescent="0.25">
      <c r="A144" s="4">
        <v>5</v>
      </c>
      <c r="B144" s="15" t="s">
        <v>224</v>
      </c>
      <c r="C144" s="24">
        <v>41193</v>
      </c>
      <c r="D144" s="24">
        <v>42262</v>
      </c>
      <c r="E144" s="25">
        <f t="shared" si="4"/>
        <v>2.9277777777777776</v>
      </c>
      <c r="F144" s="15"/>
      <c r="G144" s="15"/>
    </row>
    <row r="145" spans="1:7" ht="99" customHeight="1" x14ac:dyDescent="0.25">
      <c r="A145" s="4">
        <v>6</v>
      </c>
      <c r="B145" s="15" t="s">
        <v>225</v>
      </c>
      <c r="C145" s="24">
        <v>41324</v>
      </c>
      <c r="D145" s="24">
        <v>41530</v>
      </c>
      <c r="E145" s="25">
        <f t="shared" si="4"/>
        <v>0.56666666666666665</v>
      </c>
      <c r="F145" s="15"/>
      <c r="G145" s="15"/>
    </row>
    <row r="146" spans="1:7" ht="176.1" customHeight="1" x14ac:dyDescent="0.25">
      <c r="A146" s="4">
        <v>7</v>
      </c>
      <c r="B146" s="15" t="s">
        <v>226</v>
      </c>
      <c r="C146" s="24">
        <v>40590</v>
      </c>
      <c r="D146" s="24">
        <v>41136</v>
      </c>
      <c r="E146" s="25">
        <f t="shared" si="4"/>
        <v>1.4972222222222222</v>
      </c>
      <c r="F146" s="15"/>
      <c r="G146" s="15"/>
    </row>
    <row r="147" spans="1:7" ht="120" x14ac:dyDescent="0.25">
      <c r="A147" s="4">
        <v>8</v>
      </c>
      <c r="B147" s="15" t="s">
        <v>227</v>
      </c>
      <c r="C147" s="24">
        <v>40334</v>
      </c>
      <c r="D147" s="24">
        <v>40517</v>
      </c>
      <c r="E147" s="25">
        <f t="shared" si="4"/>
        <v>0.5</v>
      </c>
      <c r="F147" s="15"/>
      <c r="G147" s="15"/>
    </row>
    <row r="148" spans="1:7" x14ac:dyDescent="0.25">
      <c r="A148" s="27"/>
      <c r="B148" s="1"/>
      <c r="C148" s="1"/>
      <c r="D148" s="1"/>
      <c r="E148" s="29">
        <f>SUBTOTAL(109,tblET_Inerco_P226[Duración])</f>
        <v>8.5027777777777764</v>
      </c>
      <c r="F148" s="15"/>
      <c r="G148" s="15"/>
    </row>
    <row r="149" spans="1:7" x14ac:dyDescent="0.25">
      <c r="A149" s="22" t="s">
        <v>127</v>
      </c>
      <c r="B149" s="56" t="s">
        <v>228</v>
      </c>
      <c r="C149" s="1"/>
      <c r="D149" s="1"/>
      <c r="E149" s="28"/>
    </row>
    <row r="150" spans="1:7" x14ac:dyDescent="0.25">
      <c r="A150" s="23" t="s">
        <v>138</v>
      </c>
      <c r="B150" s="15" t="s">
        <v>139</v>
      </c>
      <c r="C150" s="15" t="s">
        <v>140</v>
      </c>
      <c r="D150" s="15" t="s">
        <v>141</v>
      </c>
      <c r="E150" s="15" t="s">
        <v>35</v>
      </c>
    </row>
    <row r="151" spans="1:7" ht="30" x14ac:dyDescent="0.25">
      <c r="A151" s="4">
        <v>1</v>
      </c>
      <c r="B151" s="15" t="s">
        <v>229</v>
      </c>
      <c r="C151" s="24">
        <v>41659</v>
      </c>
      <c r="D151" s="24">
        <v>41994</v>
      </c>
      <c r="E151" s="25">
        <f t="shared" ref="E151:E158" si="5">DAYS360(C151,D151)/360</f>
        <v>0.9194444444444444</v>
      </c>
    </row>
    <row r="152" spans="1:7" x14ac:dyDescent="0.25">
      <c r="A152" s="4"/>
      <c r="B152" s="15"/>
      <c r="C152" s="24">
        <v>42017</v>
      </c>
      <c r="D152" s="24">
        <v>42358</v>
      </c>
      <c r="E152" s="25">
        <f>DAYS360(C152,D152)/360</f>
        <v>0.93611111111111112</v>
      </c>
    </row>
    <row r="153" spans="1:7" ht="30" x14ac:dyDescent="0.25">
      <c r="A153" s="4">
        <v>2</v>
      </c>
      <c r="B153" s="15" t="s">
        <v>230</v>
      </c>
      <c r="C153" s="24">
        <v>43695</v>
      </c>
      <c r="D153" s="24">
        <v>43969</v>
      </c>
      <c r="E153" s="25">
        <f t="shared" si="5"/>
        <v>0.75</v>
      </c>
    </row>
    <row r="154" spans="1:7" ht="30" x14ac:dyDescent="0.25">
      <c r="A154" s="4">
        <v>3</v>
      </c>
      <c r="B154" s="15" t="s">
        <v>231</v>
      </c>
      <c r="C154" s="24">
        <v>41148</v>
      </c>
      <c r="D154" s="24">
        <v>41257</v>
      </c>
      <c r="E154" s="25">
        <f t="shared" si="5"/>
        <v>0.29722222222222222</v>
      </c>
    </row>
    <row r="155" spans="1:7" x14ac:dyDescent="0.25">
      <c r="A155" s="4"/>
      <c r="B155" s="15"/>
      <c r="C155" s="24">
        <v>43313</v>
      </c>
      <c r="D155" s="24">
        <v>43434</v>
      </c>
      <c r="E155" s="25">
        <f t="shared" si="5"/>
        <v>0.33055555555555555</v>
      </c>
    </row>
    <row r="156" spans="1:7" x14ac:dyDescent="0.25">
      <c r="A156" s="4"/>
      <c r="B156" s="15"/>
      <c r="C156" s="24">
        <v>43136</v>
      </c>
      <c r="D156" s="24">
        <v>43262</v>
      </c>
      <c r="E156" s="25">
        <f t="shared" si="5"/>
        <v>0.35</v>
      </c>
    </row>
    <row r="157" spans="1:7" x14ac:dyDescent="0.25">
      <c r="A157" s="4"/>
      <c r="B157" s="15"/>
      <c r="C157" s="24">
        <v>42947</v>
      </c>
      <c r="D157" s="24">
        <v>43064</v>
      </c>
      <c r="E157" s="25">
        <f t="shared" si="5"/>
        <v>0.31944444444444442</v>
      </c>
    </row>
    <row r="158" spans="1:7" x14ac:dyDescent="0.25">
      <c r="A158" s="4"/>
      <c r="B158" s="15"/>
      <c r="C158" s="24">
        <v>42406</v>
      </c>
      <c r="D158" s="24">
        <v>42904</v>
      </c>
      <c r="E158" s="25">
        <f t="shared" si="5"/>
        <v>1.3666666666666667</v>
      </c>
    </row>
    <row r="159" spans="1:7" x14ac:dyDescent="0.25">
      <c r="A159" s="27"/>
      <c r="B159" s="1"/>
      <c r="C159" s="1"/>
      <c r="D159" s="1"/>
      <c r="E159" s="29">
        <f>SUBTOTAL(109,tblET_Inerco_P2428[Duración])</f>
        <v>5.2694444444444439</v>
      </c>
    </row>
    <row r="161" spans="1:10" x14ac:dyDescent="0.25">
      <c r="A161" s="34" t="s">
        <v>129</v>
      </c>
      <c r="B161" s="56" t="s">
        <v>232</v>
      </c>
      <c r="C161" s="35"/>
      <c r="D161" s="35"/>
      <c r="E161" s="36"/>
    </row>
    <row r="162" spans="1:10" x14ac:dyDescent="0.25">
      <c r="A162" s="37" t="s">
        <v>138</v>
      </c>
      <c r="B162" s="34" t="s">
        <v>139</v>
      </c>
      <c r="C162" s="34" t="s">
        <v>140</v>
      </c>
      <c r="D162" s="34" t="s">
        <v>141</v>
      </c>
      <c r="E162" s="38" t="s">
        <v>35</v>
      </c>
    </row>
    <row r="163" spans="1:10" ht="60.75" thickBot="1" x14ac:dyDescent="0.3">
      <c r="A163" s="39">
        <v>1</v>
      </c>
      <c r="B163" s="57" t="s">
        <v>233</v>
      </c>
      <c r="C163" s="40">
        <v>41757</v>
      </c>
      <c r="D163" s="40">
        <v>43992</v>
      </c>
      <c r="E163" s="60">
        <f>DAYS360(C163,D163)/360</f>
        <v>6.1166666666666663</v>
      </c>
    </row>
    <row r="164" spans="1:10" ht="15.75" thickTop="1" x14ac:dyDescent="0.25">
      <c r="A164" s="42"/>
      <c r="B164" s="43"/>
      <c r="C164" s="43"/>
      <c r="D164" s="43"/>
      <c r="E164" s="44">
        <f>SUM(E163:E163)</f>
        <v>6.1166666666666663</v>
      </c>
    </row>
    <row r="166" spans="1:10" x14ac:dyDescent="0.25">
      <c r="A166" s="20" t="s">
        <v>6</v>
      </c>
      <c r="B166" s="21" t="s">
        <v>20</v>
      </c>
      <c r="C166" s="11"/>
      <c r="D166" s="18"/>
    </row>
    <row r="167" spans="1:10" x14ac:dyDescent="0.25">
      <c r="A167" s="10" t="s">
        <v>122</v>
      </c>
      <c r="B167" s="10" t="s">
        <v>123</v>
      </c>
      <c r="C167" s="10" t="s">
        <v>124</v>
      </c>
      <c r="D167" s="10" t="s">
        <v>125</v>
      </c>
      <c r="E167" s="10" t="s">
        <v>126</v>
      </c>
      <c r="F167" s="10" t="s">
        <v>127</v>
      </c>
      <c r="G167" s="10" t="s">
        <v>37</v>
      </c>
      <c r="H167" s="10" t="s">
        <v>129</v>
      </c>
      <c r="I167" s="10" t="s">
        <v>146</v>
      </c>
      <c r="J167" s="10" t="s">
        <v>38</v>
      </c>
    </row>
    <row r="168" spans="1:10" ht="30" x14ac:dyDescent="0.25">
      <c r="A168" s="1" t="s">
        <v>130</v>
      </c>
      <c r="B168" s="1" t="s">
        <v>234</v>
      </c>
      <c r="C168" s="1"/>
      <c r="D168" s="1" t="s">
        <v>235</v>
      </c>
      <c r="E168" s="1"/>
      <c r="F168" s="72" t="s">
        <v>236</v>
      </c>
      <c r="G168" s="10" t="s">
        <v>15</v>
      </c>
      <c r="H168" s="15" t="s">
        <v>237</v>
      </c>
      <c r="I168" s="10" t="s">
        <v>41</v>
      </c>
      <c r="J168" s="1" t="s">
        <v>151</v>
      </c>
    </row>
    <row r="169" spans="1:10" ht="45" x14ac:dyDescent="0.25">
      <c r="A169" s="1" t="s">
        <v>135</v>
      </c>
      <c r="B169" s="1" t="s">
        <v>238</v>
      </c>
      <c r="C169" s="1"/>
      <c r="D169" s="1" t="s">
        <v>239</v>
      </c>
      <c r="E169" s="1"/>
      <c r="F169" s="1"/>
      <c r="H169" s="15"/>
      <c r="I169" s="10" t="s">
        <v>214</v>
      </c>
      <c r="J169" s="1" t="s">
        <v>156</v>
      </c>
    </row>
    <row r="170" spans="1:10" ht="45" x14ac:dyDescent="0.25">
      <c r="A170" s="1" t="s">
        <v>137</v>
      </c>
      <c r="B170" s="62">
        <f>tblET_Inerco_P131[Duración]</f>
        <v>11.75</v>
      </c>
      <c r="C170" s="1">
        <v>0</v>
      </c>
      <c r="D170" s="62">
        <f>tblET_Inerco_P230[Duración]</f>
        <v>23.919444444444444</v>
      </c>
      <c r="E170" s="1">
        <v>0</v>
      </c>
      <c r="F170" s="62">
        <f>tblET_Inerco_P2432[Duración]</f>
        <v>20.81388888888889</v>
      </c>
      <c r="H170" s="15"/>
      <c r="J170" s="1" t="s">
        <v>189</v>
      </c>
    </row>
    <row r="171" spans="1:10" x14ac:dyDescent="0.25">
      <c r="A171" s="15"/>
      <c r="B171" s="15"/>
      <c r="C171" s="75">
        <f>SUBTOTAL(109,tblET_Inerco29[Puntaje_P1])</f>
        <v>0</v>
      </c>
      <c r="D171" s="15"/>
      <c r="E171" s="75">
        <f>SUBTOTAL(109,tblET_Inerco29[Puntaje_P2])</f>
        <v>0</v>
      </c>
      <c r="F171" s="15"/>
      <c r="G171" s="15"/>
      <c r="H171" s="15"/>
      <c r="I171" s="15"/>
      <c r="J171" s="15">
        <f>tblET_Inerco29[[#Totals],[Puntaje_P1]]+tblET_Inerco29[[#Totals],[Puntaje_P2]]</f>
        <v>0</v>
      </c>
    </row>
    <row r="172" spans="1:10" x14ac:dyDescent="0.25">
      <c r="A172" s="22" t="s">
        <v>123</v>
      </c>
      <c r="B172" s="56" t="s">
        <v>240</v>
      </c>
      <c r="C172" s="15"/>
      <c r="D172" s="15"/>
      <c r="E172" s="15"/>
      <c r="F172" s="15"/>
      <c r="G172" s="15"/>
    </row>
    <row r="173" spans="1:10" x14ac:dyDescent="0.25">
      <c r="A173" s="23" t="s">
        <v>138</v>
      </c>
      <c r="B173" s="15" t="s">
        <v>139</v>
      </c>
      <c r="C173" s="15" t="s">
        <v>140</v>
      </c>
      <c r="D173" s="15" t="s">
        <v>141</v>
      </c>
      <c r="E173" s="15" t="s">
        <v>35</v>
      </c>
      <c r="F173" s="15"/>
      <c r="G173" s="15"/>
    </row>
    <row r="174" spans="1:10" ht="120" x14ac:dyDescent="0.25">
      <c r="A174" s="4">
        <v>1</v>
      </c>
      <c r="B174" s="1" t="s">
        <v>241</v>
      </c>
      <c r="C174" s="63">
        <v>34151</v>
      </c>
      <c r="D174" s="63">
        <v>38442</v>
      </c>
      <c r="E174" s="25">
        <f>DAYS360(C174,D174)/360</f>
        <v>11.75</v>
      </c>
      <c r="F174" s="15"/>
      <c r="G174" s="15"/>
    </row>
    <row r="175" spans="1:10" x14ac:dyDescent="0.25">
      <c r="A175" s="5"/>
      <c r="B175" s="15"/>
      <c r="C175" s="15"/>
      <c r="D175" s="15"/>
      <c r="E175" s="26">
        <f>SUBTOTAL(109,tblET_Inerco_P131[Duración])</f>
        <v>11.75</v>
      </c>
      <c r="F175" s="15"/>
      <c r="G175" s="15"/>
    </row>
    <row r="176" spans="1:10" x14ac:dyDescent="0.25">
      <c r="A176" s="22" t="s">
        <v>125</v>
      </c>
      <c r="B176" s="1" t="s">
        <v>242</v>
      </c>
      <c r="C176" s="1"/>
      <c r="D176" s="1"/>
      <c r="E176" s="28"/>
      <c r="F176" s="15"/>
      <c r="G176" s="15"/>
    </row>
    <row r="177" spans="1:7" x14ac:dyDescent="0.25">
      <c r="A177" s="23" t="s">
        <v>138</v>
      </c>
      <c r="B177" s="15" t="s">
        <v>139</v>
      </c>
      <c r="C177" s="15" t="s">
        <v>140</v>
      </c>
      <c r="D177" s="15" t="s">
        <v>141</v>
      </c>
      <c r="E177" s="15" t="s">
        <v>35</v>
      </c>
      <c r="F177" s="15"/>
      <c r="G177" s="15"/>
    </row>
    <row r="178" spans="1:7" ht="120" x14ac:dyDescent="0.25">
      <c r="A178" s="4">
        <v>1</v>
      </c>
      <c r="B178" s="1" t="s">
        <v>243</v>
      </c>
      <c r="C178" s="63">
        <v>35093</v>
      </c>
      <c r="D178" s="63">
        <v>43829</v>
      </c>
      <c r="E178" s="25">
        <f>DAYS360(C178,D178)/360</f>
        <v>23.919444444444444</v>
      </c>
      <c r="F178" s="15"/>
      <c r="G178" s="15"/>
    </row>
    <row r="179" spans="1:7" x14ac:dyDescent="0.25">
      <c r="A179" s="27"/>
      <c r="B179" s="1"/>
      <c r="C179" s="1"/>
      <c r="D179" s="1"/>
      <c r="E179" s="29">
        <f>SUBTOTAL(109,tblET_Inerco_P230[Duración])</f>
        <v>23.919444444444444</v>
      </c>
      <c r="F179" s="15"/>
      <c r="G179" s="15"/>
    </row>
    <row r="180" spans="1:7" x14ac:dyDescent="0.25">
      <c r="A180" s="22" t="s">
        <v>127</v>
      </c>
      <c r="B180" s="47" t="s">
        <v>244</v>
      </c>
      <c r="C180" s="1"/>
      <c r="D180" s="1"/>
      <c r="E180" s="28"/>
    </row>
    <row r="181" spans="1:7" x14ac:dyDescent="0.25">
      <c r="A181" s="23" t="s">
        <v>138</v>
      </c>
      <c r="B181" s="15" t="s">
        <v>139</v>
      </c>
      <c r="C181" s="15" t="s">
        <v>140</v>
      </c>
      <c r="D181" s="15" t="s">
        <v>141</v>
      </c>
      <c r="E181" s="15" t="s">
        <v>35</v>
      </c>
    </row>
    <row r="182" spans="1:7" ht="60" x14ac:dyDescent="0.25">
      <c r="A182" s="4">
        <v>1</v>
      </c>
      <c r="B182" s="1" t="s">
        <v>245</v>
      </c>
      <c r="C182" s="63">
        <v>33526</v>
      </c>
      <c r="D182" s="63">
        <v>41129</v>
      </c>
      <c r="E182" s="25">
        <f>DAYS360(C182,D182)/360</f>
        <v>20.81388888888889</v>
      </c>
    </row>
    <row r="183" spans="1:7" x14ac:dyDescent="0.25">
      <c r="A183" s="27"/>
      <c r="B183" s="1"/>
      <c r="C183" s="1"/>
      <c r="D183" s="1"/>
      <c r="E183" s="29">
        <f>SUBTOTAL(109,tblET_Inerco_P2432[Duración])</f>
        <v>20.81388888888889</v>
      </c>
    </row>
    <row r="185" spans="1:7" x14ac:dyDescent="0.25">
      <c r="A185" s="34" t="s">
        <v>129</v>
      </c>
      <c r="B185" s="74" t="s">
        <v>246</v>
      </c>
      <c r="C185" s="35"/>
      <c r="D185" s="35"/>
      <c r="E185" s="36"/>
    </row>
    <row r="186" spans="1:7" x14ac:dyDescent="0.25">
      <c r="A186" s="37" t="s">
        <v>138</v>
      </c>
      <c r="B186" s="73" t="s">
        <v>139</v>
      </c>
      <c r="C186" s="34" t="s">
        <v>140</v>
      </c>
      <c r="D186" s="34" t="s">
        <v>141</v>
      </c>
      <c r="E186" s="38" t="s">
        <v>35</v>
      </c>
    </row>
    <row r="187" spans="1:7" ht="135" x14ac:dyDescent="0.25">
      <c r="A187" s="39">
        <v>1</v>
      </c>
      <c r="B187" s="1" t="s">
        <v>247</v>
      </c>
      <c r="C187" s="63">
        <v>42391</v>
      </c>
      <c r="D187" s="63">
        <v>42724</v>
      </c>
      <c r="E187" s="41">
        <f>+DAYS360(C187,D187)/360</f>
        <v>0.91111111111111109</v>
      </c>
    </row>
    <row r="188" spans="1:7" ht="99" customHeight="1" x14ac:dyDescent="0.25">
      <c r="A188" s="39">
        <v>2</v>
      </c>
      <c r="B188" s="1" t="s">
        <v>248</v>
      </c>
      <c r="C188" s="40">
        <v>42034</v>
      </c>
      <c r="D188" s="40">
        <v>42358</v>
      </c>
      <c r="E188" s="41">
        <f>+DAYS360(C188,D188)/360</f>
        <v>0.88888888888888884</v>
      </c>
    </row>
    <row r="189" spans="1:7" ht="62.1" customHeight="1" thickBot="1" x14ac:dyDescent="0.3">
      <c r="A189" s="39">
        <v>3</v>
      </c>
      <c r="B189" s="35" t="s">
        <v>249</v>
      </c>
      <c r="C189" s="40">
        <v>41878</v>
      </c>
      <c r="D189" s="40">
        <v>42004</v>
      </c>
      <c r="E189" s="41">
        <f>+DAYS360(C189,D189)/360</f>
        <v>0.34444444444444444</v>
      </c>
    </row>
    <row r="190" spans="1:7" ht="15.75" thickTop="1" x14ac:dyDescent="0.25">
      <c r="A190" s="42"/>
      <c r="B190" s="43"/>
      <c r="C190" s="43"/>
      <c r="D190" s="43"/>
      <c r="E190" s="44">
        <f>SUM(E187:E189)</f>
        <v>2.1444444444444444</v>
      </c>
    </row>
  </sheetData>
  <mergeCells count="1">
    <mergeCell ref="I1:J1"/>
  </mergeCells>
  <phoneticPr fontId="5" type="noConversion"/>
  <dataValidations count="3">
    <dataValidation type="list" allowBlank="1" showInputMessage="1" showErrorMessage="1" sqref="C5 E5 C33 E33 C78 E78 E168 E123 C168">
      <formula1>"0,2,4,6,8,10"</formula1>
    </dataValidation>
    <dataValidation type="list" allowBlank="1" showInputMessage="1" showErrorMessage="1" sqref="J77">
      <formula1>"Si,No"</formula1>
    </dataValidation>
    <dataValidation type="list" allowBlank="1" showInputMessage="1" showErrorMessage="1" sqref="C123">
      <formula1>",0,2,4,6,8,10"</formula1>
    </dataValidation>
  </dataValidations>
  <pageMargins left="0.70866141732283472" right="0.70866141732283472" top="0.74803149606299213" bottom="0.74803149606299213" header="0.31496062992125984" footer="0.31496062992125984"/>
  <pageSetup scale="79" fitToHeight="0" orientation="landscape" r:id="rId1"/>
  <headerFooter>
    <oddFooter>Page &amp;P&amp;R</oddFooter>
  </headerFooter>
  <rowBreaks count="1" manualBreakCount="1">
    <brk id="8" max="4" man="1"/>
  </rowBreaks>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2" zoomScale="115" workbookViewId="0">
      <pane xSplit="1" ySplit="5" topLeftCell="D7" activePane="bottomRight" state="frozen"/>
      <selection pane="topRight" activeCell="B2" sqref="B2"/>
      <selection pane="bottomLeft" activeCell="A7" sqref="A7"/>
      <selection pane="bottomRight" activeCell="H16" sqref="H16:H18"/>
    </sheetView>
  </sheetViews>
  <sheetFormatPr baseColWidth="10" defaultColWidth="11.42578125" defaultRowHeight="15" x14ac:dyDescent="0.25"/>
  <cols>
    <col min="1" max="1" width="13.28515625" customWidth="1"/>
    <col min="2" max="2" width="42.42578125" customWidth="1"/>
    <col min="3" max="3" width="41.42578125" customWidth="1"/>
    <col min="4" max="4" width="37.7109375" customWidth="1"/>
    <col min="5" max="5" width="43.140625" bestFit="1" customWidth="1"/>
    <col min="6" max="6" width="36.42578125" customWidth="1"/>
    <col min="7" max="7" width="7.140625" bestFit="1" customWidth="1"/>
    <col min="8" max="8" width="39.42578125" customWidth="1"/>
  </cols>
  <sheetData>
    <row r="1" spans="1:8" ht="30" x14ac:dyDescent="0.25">
      <c r="A1" s="90" t="s">
        <v>0</v>
      </c>
      <c r="B1" s="89" t="s">
        <v>250</v>
      </c>
      <c r="C1" s="31" t="s">
        <v>251</v>
      </c>
      <c r="D1" s="91" t="s">
        <v>252</v>
      </c>
    </row>
    <row r="2" spans="1:8" ht="30" x14ac:dyDescent="0.25">
      <c r="A2" s="90"/>
      <c r="B2" s="89"/>
      <c r="C2" s="31" t="s">
        <v>253</v>
      </c>
      <c r="D2" s="91"/>
    </row>
    <row r="3" spans="1:8" ht="30" x14ac:dyDescent="0.25">
      <c r="A3" s="90"/>
      <c r="B3" s="89"/>
      <c r="C3" s="31" t="s">
        <v>254</v>
      </c>
      <c r="D3" s="91"/>
    </row>
    <row r="6" spans="1:8" s="33" customFormat="1" ht="15.75" thickBot="1" x14ac:dyDescent="0.3">
      <c r="A6" s="32" t="s">
        <v>6</v>
      </c>
      <c r="B6" s="33" t="s">
        <v>255</v>
      </c>
      <c r="C6" s="33" t="s">
        <v>256</v>
      </c>
      <c r="D6" s="33" t="s">
        <v>257</v>
      </c>
      <c r="E6" s="33" t="s">
        <v>258</v>
      </c>
      <c r="F6" s="33" t="s">
        <v>259</v>
      </c>
      <c r="G6" s="33" t="s">
        <v>37</v>
      </c>
      <c r="H6" s="33" t="s">
        <v>36</v>
      </c>
    </row>
    <row r="7" spans="1:8" ht="30" x14ac:dyDescent="0.25">
      <c r="A7" s="92" t="s">
        <v>260</v>
      </c>
      <c r="B7" s="45" t="s">
        <v>251</v>
      </c>
      <c r="C7" s="48" t="s">
        <v>261</v>
      </c>
      <c r="D7" s="48" t="s">
        <v>261</v>
      </c>
      <c r="E7" s="48" t="s">
        <v>261</v>
      </c>
      <c r="F7" s="48" t="s">
        <v>261</v>
      </c>
      <c r="G7" s="100" t="s">
        <v>15</v>
      </c>
      <c r="H7" s="97" t="s">
        <v>273</v>
      </c>
    </row>
    <row r="8" spans="1:8" ht="30" x14ac:dyDescent="0.25">
      <c r="A8" s="93"/>
      <c r="B8" s="47" t="s">
        <v>262</v>
      </c>
      <c r="C8" s="48" t="s">
        <v>261</v>
      </c>
      <c r="D8" s="48" t="s">
        <v>261</v>
      </c>
      <c r="E8" s="48" t="s">
        <v>261</v>
      </c>
      <c r="F8" s="48" t="s">
        <v>263</v>
      </c>
      <c r="G8" s="101"/>
      <c r="H8" s="98"/>
    </row>
    <row r="9" spans="1:8" ht="30.75" thickBot="1" x14ac:dyDescent="0.3">
      <c r="A9" s="93"/>
      <c r="B9" s="47" t="s">
        <v>264</v>
      </c>
      <c r="C9" s="48" t="s">
        <v>261</v>
      </c>
      <c r="D9" s="48" t="s">
        <v>261</v>
      </c>
      <c r="E9" s="48" t="s">
        <v>261</v>
      </c>
      <c r="F9" s="48" t="s">
        <v>263</v>
      </c>
      <c r="G9" s="102"/>
      <c r="H9" s="98"/>
    </row>
    <row r="10" spans="1:8" ht="39" customHeight="1" x14ac:dyDescent="0.25">
      <c r="A10" s="92" t="s">
        <v>265</v>
      </c>
      <c r="B10" s="45" t="s">
        <v>251</v>
      </c>
      <c r="C10" s="46" t="s">
        <v>261</v>
      </c>
      <c r="D10" s="46" t="s">
        <v>261</v>
      </c>
      <c r="E10" s="46" t="s">
        <v>261</v>
      </c>
      <c r="F10" s="46" t="s">
        <v>261</v>
      </c>
      <c r="G10" s="100" t="s">
        <v>15</v>
      </c>
      <c r="H10" s="97" t="s">
        <v>273</v>
      </c>
    </row>
    <row r="11" spans="1:8" ht="30" x14ac:dyDescent="0.25">
      <c r="A11" s="93"/>
      <c r="B11" s="47" t="s">
        <v>262</v>
      </c>
      <c r="C11" s="48" t="s">
        <v>261</v>
      </c>
      <c r="D11" s="48" t="s">
        <v>261</v>
      </c>
      <c r="E11" s="48" t="s">
        <v>261</v>
      </c>
      <c r="F11" s="48" t="s">
        <v>263</v>
      </c>
      <c r="G11" s="101"/>
      <c r="H11" s="98"/>
    </row>
    <row r="12" spans="1:8" ht="30.75" thickBot="1" x14ac:dyDescent="0.3">
      <c r="A12" s="94"/>
      <c r="B12" s="49" t="s">
        <v>264</v>
      </c>
      <c r="C12" s="50" t="s">
        <v>261</v>
      </c>
      <c r="D12" s="50" t="s">
        <v>261</v>
      </c>
      <c r="E12" s="50" t="s">
        <v>261</v>
      </c>
      <c r="F12" s="50" t="s">
        <v>263</v>
      </c>
      <c r="G12" s="102"/>
      <c r="H12" s="98"/>
    </row>
    <row r="13" spans="1:8" ht="35.1" customHeight="1" x14ac:dyDescent="0.25">
      <c r="A13" s="95" t="s">
        <v>63</v>
      </c>
      <c r="B13" s="47" t="s">
        <v>251</v>
      </c>
      <c r="C13" s="48" t="s">
        <v>261</v>
      </c>
      <c r="D13" s="48" t="s">
        <v>261</v>
      </c>
      <c r="E13" s="48" t="s">
        <v>261</v>
      </c>
      <c r="F13" s="48" t="s">
        <v>261</v>
      </c>
      <c r="G13" s="100" t="s">
        <v>15</v>
      </c>
      <c r="H13" s="97" t="s">
        <v>273</v>
      </c>
    </row>
    <row r="14" spans="1:8" ht="30" x14ac:dyDescent="0.25">
      <c r="A14" s="95"/>
      <c r="B14" s="47" t="s">
        <v>262</v>
      </c>
      <c r="C14" s="48" t="s">
        <v>261</v>
      </c>
      <c r="D14" s="48" t="s">
        <v>261</v>
      </c>
      <c r="E14" s="48" t="s">
        <v>261</v>
      </c>
      <c r="F14" s="48" t="s">
        <v>263</v>
      </c>
      <c r="G14" s="101"/>
      <c r="H14" s="98"/>
    </row>
    <row r="15" spans="1:8" ht="30.75" thickBot="1" x14ac:dyDescent="0.3">
      <c r="A15" s="96"/>
      <c r="B15" s="49" t="s">
        <v>264</v>
      </c>
      <c r="C15" s="48" t="s">
        <v>261</v>
      </c>
      <c r="D15" s="48" t="s">
        <v>261</v>
      </c>
      <c r="E15" s="48" t="s">
        <v>261</v>
      </c>
      <c r="F15" s="50" t="s">
        <v>263</v>
      </c>
      <c r="G15" s="102"/>
      <c r="H15" s="98"/>
    </row>
    <row r="16" spans="1:8" ht="42.95" customHeight="1" x14ac:dyDescent="0.25">
      <c r="A16" s="99" t="s">
        <v>74</v>
      </c>
      <c r="B16" s="45" t="s">
        <v>251</v>
      </c>
      <c r="C16" s="46" t="s">
        <v>261</v>
      </c>
      <c r="D16" s="46" t="s">
        <v>261</v>
      </c>
      <c r="E16" s="46" t="s">
        <v>261</v>
      </c>
      <c r="F16" s="46" t="s">
        <v>261</v>
      </c>
      <c r="G16" s="100" t="s">
        <v>15</v>
      </c>
      <c r="H16" s="97" t="s">
        <v>273</v>
      </c>
    </row>
    <row r="17" spans="1:8" ht="30" x14ac:dyDescent="0.25">
      <c r="A17" s="95"/>
      <c r="B17" s="47" t="s">
        <v>262</v>
      </c>
      <c r="C17" s="48" t="s">
        <v>261</v>
      </c>
      <c r="D17" s="48" t="s">
        <v>261</v>
      </c>
      <c r="E17" s="48" t="s">
        <v>261</v>
      </c>
      <c r="F17" s="48" t="s">
        <v>263</v>
      </c>
      <c r="G17" s="101"/>
      <c r="H17" s="98"/>
    </row>
    <row r="18" spans="1:8" ht="30.75" thickBot="1" x14ac:dyDescent="0.3">
      <c r="A18" s="96"/>
      <c r="B18" s="49" t="s">
        <v>264</v>
      </c>
      <c r="C18" s="50" t="s">
        <v>261</v>
      </c>
      <c r="D18" s="50" t="s">
        <v>261</v>
      </c>
      <c r="E18" s="50" t="s">
        <v>261</v>
      </c>
      <c r="F18" s="50" t="s">
        <v>263</v>
      </c>
      <c r="G18" s="102"/>
      <c r="H18" s="98"/>
    </row>
    <row r="19" spans="1:8" ht="32.1" customHeight="1" x14ac:dyDescent="0.25">
      <c r="A19" s="99" t="s">
        <v>20</v>
      </c>
      <c r="B19" s="45" t="s">
        <v>251</v>
      </c>
      <c r="C19" s="46" t="s">
        <v>261</v>
      </c>
      <c r="D19" s="46" t="s">
        <v>261</v>
      </c>
      <c r="E19" s="46" t="s">
        <v>261</v>
      </c>
      <c r="F19" s="46" t="s">
        <v>261</v>
      </c>
      <c r="G19" s="100" t="s">
        <v>15</v>
      </c>
      <c r="H19" s="97" t="s">
        <v>273</v>
      </c>
    </row>
    <row r="20" spans="1:8" ht="30" x14ac:dyDescent="0.25">
      <c r="A20" s="95"/>
      <c r="B20" s="47" t="s">
        <v>262</v>
      </c>
      <c r="C20" s="48" t="s">
        <v>261</v>
      </c>
      <c r="D20" s="48" t="s">
        <v>261</v>
      </c>
      <c r="E20" s="48" t="s">
        <v>261</v>
      </c>
      <c r="F20" s="48" t="s">
        <v>263</v>
      </c>
      <c r="G20" s="101"/>
      <c r="H20" s="98"/>
    </row>
    <row r="21" spans="1:8" ht="30.75" thickBot="1" x14ac:dyDescent="0.3">
      <c r="A21" s="96"/>
      <c r="B21" s="49" t="s">
        <v>264</v>
      </c>
      <c r="C21" s="50" t="s">
        <v>261</v>
      </c>
      <c r="D21" s="50" t="s">
        <v>261</v>
      </c>
      <c r="E21" s="50" t="s">
        <v>261</v>
      </c>
      <c r="F21" s="50" t="s">
        <v>263</v>
      </c>
      <c r="G21" s="102"/>
      <c r="H21" s="98"/>
    </row>
  </sheetData>
  <mergeCells count="18">
    <mergeCell ref="A13:A15"/>
    <mergeCell ref="H7:H9"/>
    <mergeCell ref="A16:A18"/>
    <mergeCell ref="A19:A21"/>
    <mergeCell ref="H10:H12"/>
    <mergeCell ref="H13:H15"/>
    <mergeCell ref="H16:H18"/>
    <mergeCell ref="H19:H21"/>
    <mergeCell ref="G7:G9"/>
    <mergeCell ref="G10:G12"/>
    <mergeCell ref="G13:G15"/>
    <mergeCell ref="G16:G18"/>
    <mergeCell ref="G19:G21"/>
    <mergeCell ref="B1:B3"/>
    <mergeCell ref="A1:A3"/>
    <mergeCell ref="D1:D3"/>
    <mergeCell ref="A7:A9"/>
    <mergeCell ref="A10:A12"/>
  </mergeCells>
  <dataValidations count="1">
    <dataValidation type="list" allowBlank="1" showInputMessage="1" showErrorMessage="1" sqref="G7 G10 G13 G16 G19">
      <formula1>"Si,No"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E82A7F5CE8B8488E2092A481737615" ma:contentTypeVersion="7" ma:contentTypeDescription="Create a new document." ma:contentTypeScope="" ma:versionID="aa50b936d0a0f839301df1b84a4b8ce1">
  <xsd:schema xmlns:xsd="http://www.w3.org/2001/XMLSchema" xmlns:xs="http://www.w3.org/2001/XMLSchema" xmlns:p="http://schemas.microsoft.com/office/2006/metadata/properties" xmlns:ns3="e0200df5-bc66-4201-9951-c426a1c15c0b" xmlns:ns4="212ef09e-08ed-4d2a-a6bf-022379ed3121" targetNamespace="http://schemas.microsoft.com/office/2006/metadata/properties" ma:root="true" ma:fieldsID="4e5630ffc81b27d2898e31615b3217c9" ns3:_="" ns4:_="">
    <xsd:import namespace="e0200df5-bc66-4201-9951-c426a1c15c0b"/>
    <xsd:import namespace="212ef09e-08ed-4d2a-a6bf-022379ed312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00df5-bc66-4201-9951-c426a1c15c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2ef09e-08ed-4d2a-a6bf-022379ed31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CDC6E-81B2-4612-A293-41A860371B4D}">
  <ds:schemaRefs>
    <ds:schemaRef ds:uri="http://schemas.microsoft.com/sharepoint/v3/contenttype/forms"/>
  </ds:schemaRefs>
</ds:datastoreItem>
</file>

<file path=customXml/itemProps2.xml><?xml version="1.0" encoding="utf-8"?>
<ds:datastoreItem xmlns:ds="http://schemas.openxmlformats.org/officeDocument/2006/customXml" ds:itemID="{04E845D4-23CF-4A5D-A7A1-016AED780C42}">
  <ds:schemaRef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purl.org/dc/terms/"/>
    <ds:schemaRef ds:uri="http://www.w3.org/XML/1998/namespace"/>
    <ds:schemaRef ds:uri="http://schemas.microsoft.com/office/infopath/2007/PartnerControls"/>
    <ds:schemaRef ds:uri="212ef09e-08ed-4d2a-a6bf-022379ed3121"/>
    <ds:schemaRef ds:uri="e0200df5-bc66-4201-9951-c426a1c15c0b"/>
  </ds:schemaRefs>
</ds:datastoreItem>
</file>

<file path=customXml/itemProps3.xml><?xml version="1.0" encoding="utf-8"?>
<ds:datastoreItem xmlns:ds="http://schemas.openxmlformats.org/officeDocument/2006/customXml" ds:itemID="{5E509B38-8D3E-4A1A-8076-048DD9F284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00df5-bc66-4201-9951-c426a1c15c0b"/>
    <ds:schemaRef ds:uri="212ef09e-08ed-4d2a-a6bf-022379ed31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Resumen</vt:lpstr>
      <vt:lpstr>RH_EE</vt:lpstr>
      <vt:lpstr>EA</vt:lpstr>
      <vt:lpstr>ET</vt:lpstr>
      <vt:lpstr>PT</vt:lpstr>
      <vt:lpstr>EA!Área_de_impresión</vt:lpstr>
      <vt:lpstr>ET!Área_de_impresión</vt:lpstr>
      <vt:lpstr>Resumen!Área_de_impresión</vt:lpstr>
      <vt:lpstr>RH_EE!Área_de_impresión</vt:lpstr>
      <vt:lpstr>EA!Títulos_a_imprimir</vt:lpstr>
      <vt:lpstr>ET!Títulos_a_imprimir</vt:lpstr>
      <vt:lpstr>RH_EE!Títulos_a_imprimir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Romero Cortina</dc:creator>
  <cp:keywords/>
  <dc:description/>
  <cp:lastModifiedBy>ivan moreno</cp:lastModifiedBy>
  <cp:revision/>
  <dcterms:created xsi:type="dcterms:W3CDTF">2019-09-30T14:37:05Z</dcterms:created>
  <dcterms:modified xsi:type="dcterms:W3CDTF">2020-06-17T15:47:03Z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0x010100E0E82A7F5CE8B8488E2092A481737615</vt:lpwstr>
  </property>
</Properties>
</file>