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O:\2023\5.SGSPI\4.1.Gestión de Seguridad de Información\Tratamiento de NO CONFORMIDADES EXTERNAS\2 - 6.1.2  Valoración de Riesgos\"/>
    </mc:Choice>
  </mc:AlternateContent>
  <bookViews>
    <workbookView xWindow="0" yWindow="0" windowWidth="28800" windowHeight="11610" tabRatio="882" activeTab="1"/>
  </bookViews>
  <sheets>
    <sheet name="Instructivo" sheetId="21" r:id="rId1"/>
    <sheet name="Mapa final" sheetId="1" r:id="rId2"/>
    <sheet name="Matriz Calor Inherente" sheetId="18" state="hidden" r:id="rId3"/>
    <sheet name="Matriz Calor Residual" sheetId="19" state="hidden" r:id="rId4"/>
    <sheet name="Tabla probabilidad" sheetId="12" state="hidden" r:id="rId5"/>
    <sheet name="Tabla Impacto" sheetId="13" state="hidden" r:id="rId6"/>
    <sheet name="Tabla Valoración controles" sheetId="15" state="hidden" r:id="rId7"/>
    <sheet name="Opciones Tratamiento" sheetId="16" state="hidden" r:id="rId8"/>
    <sheet name="Hoja1" sheetId="11" state="hidden" r:id="rId9"/>
  </sheets>
  <externalReferences>
    <externalReference r:id="rId10"/>
    <externalReference r:id="rId11"/>
  </externalReferences>
  <definedNames>
    <definedName name="ADQUISICIÓN_DESARROLLO_Y_MANTENIMIENTO_DE_SISTEMAS">'Tabla Valoración controles'!$C$90:$C$92</definedName>
    <definedName name="Antes_de_asumir_el_empleo">'Tabla Valoración controles'!$D$45:$D$46</definedName>
    <definedName name="_xlnm.Print_Area" localSheetId="0">Instructivo!$A$2:$B$53</definedName>
    <definedName name="Áreas_seguras">'Tabla Valoración controles'!$D$88:$D$93</definedName>
    <definedName name="ASPECTOS_DE_SEGURIDAD_DE_LA_INFORMACIÓN_DE_LA_GESTIÓN_DE_CONTINUIDAD_DE_NEGOCIO">'Tabla Valoración controles'!$C$102:$C$103</definedName>
    <definedName name="ASPECTOS_DE_SEGURIDAD_DE_LA_INFORMACION_DE_LA_GESTIÓN_DE_CONTINUIDAD_DE_NEGOCIO.">'Tabla Valoración controles'!$C$102:$C$103</definedName>
    <definedName name="Clasificación_de_la_información">'Tabla Valoración controles'!$D$59:$D$61</definedName>
    <definedName name="Consideraciones_sobre_auditorías_de_sistemas_de_información">'Tabla Valoración controles'!$D$124</definedName>
    <definedName name="Continuidad_de_seguridad_de_la_información">'Tabla Valoración controles'!$D$166:$D$168</definedName>
    <definedName name="CONTROL_DE_ACCESO">'Tabla Valoración controles'!$C$64:$C$67</definedName>
    <definedName name="Control_de_acceso_a_sistemas_y_aplicaciones">'Tabla Valoración controles'!$D$79:$D$83</definedName>
    <definedName name="Control_de_software_operacional">'Tabla Valoración controles'!$D$119</definedName>
    <definedName name="Controles_criptográficos">'Tabla Valoración controles'!$D$85:$D$86</definedName>
    <definedName name="CONTROLG" localSheetId="0">'[1]Tabla Valoración controles'!$C$28:$C$41</definedName>
    <definedName name="CONTROLG">'Tabla Valoración controles'!$C$29:$C$43</definedName>
    <definedName name="Copias_de_respaldo">'Tabla Valoración controles'!$D$112</definedName>
    <definedName name="CRIPTOGRAFÍA">'Tabla Valoración controles'!$C$70</definedName>
    <definedName name="CUMPLIMIENTO">'Tabla Valoración controles'!$C$106</definedName>
    <definedName name="Cumplimiento_de_requisitos_legales_y_contractuales">'Tabla Valoración controles'!$D$172:$D$176</definedName>
    <definedName name="Datos_de_prueba">'Tabla Valoración controles'!$D$149</definedName>
    <definedName name="Dispositivos_móviles_y_teletrabajo">'Tabla Valoración controles'!$D$42:$D$43</definedName>
    <definedName name="Durante_la_ejecución_del_empleo">'Tabla Valoración controles'!$D$48:$D$50</definedName>
    <definedName name="Equipos">'Tabla Valoración controles'!$D$95:$D$103</definedName>
    <definedName name="Gestión_de_acceso_de_usuarios">'Tabla Valoración controles'!$D$70:$D$75</definedName>
    <definedName name="GESTIÓN_DE_ACTIVOS">'Tabla Valoración controles'!$C$59:$C$61</definedName>
    <definedName name="GESTIÓN_DE_INCIDENTES_DE_SEGURIDAD_DE_LA_INFORMACIÓN">'Tabla Valoración controles'!$C$99</definedName>
    <definedName name="Gestión_de_incidentes_y_mejoras_en_la_seguridad_de_la_información">'Tabla Valoración controles'!$D$158:$D$164</definedName>
    <definedName name="Gestión_de_la_prestación_de_servicios_de_proveedores">'Tabla Valoración controles'!$D$155:$D$156</definedName>
    <definedName name="Gestión_de_la_seguridad_de_las_redes">'Tabla Valoración controles'!$D$126:$D$128</definedName>
    <definedName name="Gestión_de_la_vulnerabilidad_técnica">'Tabla Valoración controles'!$D$121:$D$122</definedName>
    <definedName name="Manejo_de_medios">'Tabla Valoración controles'!$D$63:$D$65</definedName>
    <definedName name="NO_APLICA">'Tabla Valoración controles'!$D$30</definedName>
    <definedName name="ORGANIZACIÓN_DE_LA_SEGURIDAD_DE_LA_INFORMACION">'Tabla Valoración controles'!$C$50:$C$51</definedName>
    <definedName name="Organización_interna">'Tabla Valoración controles'!$D$36:$D$40</definedName>
    <definedName name="Orientación_de_la_dirección_para_la_gestión_de_la_seguridad_de_la_información">'Tabla Valoración controles'!$D$33:$D$34</definedName>
    <definedName name="POLITICAS_DE_LA_SEGURIDAD_DE_LA_INFORMACIÓN">'Tabla Valoración controles'!$C$47</definedName>
    <definedName name="Procedimientos_operacionales_y_responsabilidades">'Tabla Valoración controles'!$D$105:$D$108</definedName>
    <definedName name="Protección_contra_códigos_maliciosos">'Tabla Valoración controles'!$D$110</definedName>
    <definedName name="Redundancias">'Tabla Valoración controles'!$D$170</definedName>
    <definedName name="Registro_y_seguimiento">'Tabla Valoración controles'!$D$114:$D$117</definedName>
    <definedName name="RELACIONES_CON_LOS_PROVEEDORES">'Tabla Valoración controles'!$C$95:$C$96</definedName>
    <definedName name="Requisitos_de_seguridad_de_los_sistemas_de_información">'Tabla Valoración controles'!$D$135:$D$137</definedName>
    <definedName name="Requisitos_del_negocio_para_control_de_acceso">'Tabla Valoración controles'!$D$67:$D$68</definedName>
    <definedName name="Responsabilidad_por_los_activos">'Tabla Valoración controles'!$D$54:$D$57</definedName>
    <definedName name="Responsabilidades_de_los_usuarios">'Tabla Valoración controles'!$D$77</definedName>
    <definedName name="Revisiones_de_seguridad_de_la_información">'Tabla Valoración controles'!$D$178:$D$180</definedName>
    <definedName name="Seguridad_de_la_información_en_las_relaciones_con_los_proveedores">'Tabla Valoración controles'!$D$151:$D$153</definedName>
    <definedName name="SEGURIDAD_DE_LAS_COMUNICACIONES">'Tabla Valoración controles'!$C$86:$C$87</definedName>
    <definedName name="SEGURIDAD_DE_LAS_OPERACIONES">'Tabla Valoración controles'!$C$77:$C$83</definedName>
    <definedName name="SEGURIDAD_DE_LOS_RECURSOS_HUMANOS">'Tabla Valoración controles'!$C$54:$C$56</definedName>
    <definedName name="Seguridad_en_los_procesos_de_desarrollo_y_de_soporte">'Tabla Valoración controles'!$D$139:$D$147</definedName>
    <definedName name="SEGURIDAD_FÍSICA_Y_DEL_ENTORNO">'Tabla Valoración controles'!$C$73:$C$74</definedName>
    <definedName name="Terminación_y_cambio_de_empleo">'Tabla Valoración controles'!$D$52</definedName>
    <definedName name="Transferencia_de_información">'Tabla Valoración controles'!$D$130:$D$133</definedName>
  </definedNames>
  <calcPr calcId="162913"/>
  <pivotCaches>
    <pivotCache cacheId="1"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 i="1" l="1"/>
  <c r="O43" i="1" l="1"/>
  <c r="P43" i="1" s="1"/>
  <c r="O42" i="1"/>
  <c r="P42" i="1" s="1"/>
  <c r="O39" i="1"/>
  <c r="P39" i="1" s="1"/>
  <c r="O38" i="1"/>
  <c r="P38" i="1" s="1"/>
  <c r="O37" i="1"/>
  <c r="P37" i="1" s="1"/>
  <c r="O35" i="1"/>
  <c r="P35" i="1" s="1"/>
  <c r="O32" i="1"/>
  <c r="P32" i="1" s="1"/>
  <c r="O31" i="1"/>
  <c r="P31" i="1" s="1"/>
  <c r="O29" i="1" l="1"/>
  <c r="P29" i="1" s="1"/>
  <c r="O28" i="1"/>
  <c r="P28" i="1" s="1"/>
  <c r="O27" i="1"/>
  <c r="P27" i="1" s="1"/>
  <c r="O25" i="1"/>
  <c r="P25" i="1" s="1"/>
  <c r="O24" i="1"/>
  <c r="P24" i="1" s="1"/>
  <c r="O23" i="1"/>
  <c r="P23" i="1" s="1"/>
  <c r="O21" i="1"/>
  <c r="P21" i="1" s="1"/>
  <c r="O19" i="1"/>
  <c r="P19" i="1" s="1"/>
  <c r="O18" i="1"/>
  <c r="P18" i="1" s="1"/>
  <c r="O16" i="1"/>
  <c r="P16" i="1" s="1"/>
  <c r="O14" i="1"/>
  <c r="P14" i="1" s="1"/>
  <c r="O13" i="1"/>
  <c r="P13" i="1" s="1"/>
  <c r="O11" i="1"/>
  <c r="P11" i="1" s="1"/>
  <c r="O9" i="1"/>
  <c r="P9" i="1" s="1"/>
  <c r="AE43" i="1" l="1"/>
  <c r="AE42" i="1"/>
  <c r="Z43" i="1"/>
  <c r="Z42" i="1"/>
  <c r="AE41" i="1"/>
  <c r="O41" i="1"/>
  <c r="P41" i="1" s="1"/>
  <c r="Z41" i="1"/>
  <c r="Z38" i="1"/>
  <c r="AE38" i="1"/>
  <c r="Z39" i="1"/>
  <c r="AE39" i="1"/>
  <c r="Z33" i="1"/>
  <c r="Z34" i="1"/>
  <c r="AE34" i="1"/>
  <c r="Z35" i="1"/>
  <c r="AE35" i="1"/>
  <c r="AE40" i="1"/>
  <c r="Z40" i="1"/>
  <c r="O40" i="1"/>
  <c r="P40" i="1" s="1"/>
  <c r="AE37" i="1"/>
  <c r="Z37" i="1"/>
  <c r="AE36" i="1"/>
  <c r="Z36" i="1"/>
  <c r="O36" i="1"/>
  <c r="P36" i="1" s="1"/>
  <c r="O34" i="1"/>
  <c r="P34" i="1" s="1"/>
  <c r="O33" i="1"/>
  <c r="P33" i="1" s="1"/>
  <c r="AE32" i="1"/>
  <c r="Z32" i="1"/>
  <c r="AE31" i="1"/>
  <c r="Z31" i="1"/>
  <c r="AE30" i="1"/>
  <c r="Z30" i="1"/>
  <c r="O30" i="1"/>
  <c r="P30" i="1" s="1"/>
  <c r="AE26" i="1"/>
  <c r="AE27" i="1"/>
  <c r="AE28" i="1"/>
  <c r="AE29" i="1"/>
  <c r="O26" i="1"/>
  <c r="P26" i="1" s="1"/>
  <c r="AE22" i="1"/>
  <c r="AE23" i="1"/>
  <c r="AE24" i="1"/>
  <c r="AE25" i="1"/>
  <c r="O22" i="1"/>
  <c r="P22" i="1" s="1"/>
  <c r="AE20" i="1"/>
  <c r="AE21" i="1"/>
  <c r="O20" i="1"/>
  <c r="P20" i="1" s="1"/>
  <c r="AE17" i="1"/>
  <c r="AE18" i="1"/>
  <c r="AE19" i="1"/>
  <c r="Z19" i="1"/>
  <c r="Z18" i="1"/>
  <c r="O17" i="1"/>
  <c r="P17" i="1" s="1"/>
  <c r="AE15" i="1"/>
  <c r="AE16" i="1"/>
  <c r="O15" i="1"/>
  <c r="P15" i="1" s="1"/>
  <c r="AE12" i="1"/>
  <c r="AE13" i="1"/>
  <c r="AE14" i="1"/>
  <c r="Z14" i="1"/>
  <c r="O12" i="1"/>
  <c r="P12" i="1" s="1"/>
  <c r="AE10" i="1"/>
  <c r="AE11" i="1"/>
  <c r="Z11" i="1"/>
  <c r="O10" i="1"/>
  <c r="P10" i="1" s="1"/>
  <c r="AE9" i="1"/>
  <c r="AE8" i="1"/>
  <c r="Z9" i="1"/>
  <c r="O8" i="1"/>
  <c r="P8" i="1" s="1"/>
  <c r="Z7" i="1"/>
  <c r="O7" i="1"/>
  <c r="P7" i="1" s="1"/>
  <c r="F221" i="13"/>
  <c r="F211" i="13"/>
  <c r="F212" i="13"/>
  <c r="F213" i="13"/>
  <c r="F214" i="13"/>
  <c r="F215" i="13"/>
  <c r="F216" i="13"/>
  <c r="F217" i="13"/>
  <c r="F218" i="13"/>
  <c r="F219" i="13"/>
  <c r="F220" i="13"/>
  <c r="F210" i="13"/>
  <c r="AJ44" i="18"/>
  <c r="AD44" i="18"/>
  <c r="X44" i="18"/>
  <c r="R44" i="18"/>
  <c r="L44" i="18"/>
  <c r="AJ36" i="18"/>
  <c r="AD36" i="18"/>
  <c r="X36" i="18"/>
  <c r="R36" i="18"/>
  <c r="L36" i="18"/>
  <c r="AJ28" i="18"/>
  <c r="AD28" i="18"/>
  <c r="X28" i="18"/>
  <c r="R28" i="18"/>
  <c r="L28" i="18"/>
  <c r="AJ20" i="18"/>
  <c r="AD20" i="18"/>
  <c r="X20" i="18"/>
  <c r="R20" i="18"/>
  <c r="L20" i="18"/>
  <c r="AJ12" i="18"/>
  <c r="AD12" i="18"/>
  <c r="X12" i="18"/>
  <c r="R12" i="18"/>
  <c r="L12" i="18"/>
  <c r="Z29" i="1"/>
  <c r="Z28" i="1"/>
  <c r="Z27" i="1"/>
  <c r="Z26" i="1"/>
  <c r="Z25" i="1"/>
  <c r="Z24" i="1"/>
  <c r="Z23" i="1"/>
  <c r="Z22" i="1"/>
  <c r="Z21" i="1"/>
  <c r="Z20" i="1"/>
  <c r="Z17" i="1"/>
  <c r="Z16" i="1"/>
  <c r="Z15" i="1"/>
  <c r="Z13" i="1"/>
  <c r="Z12" i="1"/>
  <c r="Z10" i="1"/>
  <c r="Z8" i="1"/>
  <c r="AF37" i="19"/>
  <c r="P35" i="19"/>
  <c r="S45" i="19"/>
  <c r="M45" i="19"/>
  <c r="S25" i="19"/>
  <c r="AE35" i="19"/>
  <c r="S15" i="19"/>
  <c r="M55" i="19"/>
  <c r="M15" i="19"/>
  <c r="AK35" i="19"/>
  <c r="AK55" i="19"/>
  <c r="AK15" i="19"/>
  <c r="Y25" i="19"/>
  <c r="AE45" i="19"/>
  <c r="AE25" i="19"/>
  <c r="Y15" i="19"/>
  <c r="AE15" i="19"/>
  <c r="Y35" i="19"/>
  <c r="AK45" i="19"/>
  <c r="Y45" i="19"/>
  <c r="M25" i="19"/>
  <c r="AE55" i="19"/>
  <c r="S55" i="19"/>
  <c r="M35" i="19"/>
  <c r="AK25" i="19"/>
  <c r="Y55" i="19"/>
  <c r="S35" i="19"/>
  <c r="J15" i="19"/>
  <c r="V55" i="19"/>
  <c r="W26" i="19"/>
  <c r="Z18" i="19"/>
  <c r="AG6" i="19"/>
  <c r="K36" i="19"/>
  <c r="Q36" i="19"/>
  <c r="AI46" i="19"/>
  <c r="W6" i="19"/>
  <c r="W36" i="19"/>
  <c r="K46" i="19"/>
  <c r="Q16" i="19"/>
  <c r="AC46" i="19"/>
  <c r="K16" i="19"/>
  <c r="AC16" i="19"/>
  <c r="AC6" i="19"/>
  <c r="AG45" i="19"/>
  <c r="U55" i="19"/>
  <c r="AM25" i="19"/>
  <c r="AA25" i="19"/>
  <c r="AG15" i="19"/>
  <c r="AA55" i="19"/>
  <c r="AM55" i="19"/>
  <c r="U25" i="19"/>
  <c r="U45" i="19"/>
  <c r="AG35" i="19"/>
  <c r="U15" i="19"/>
  <c r="O25" i="19"/>
  <c r="AG55" i="19"/>
  <c r="AG25" i="19"/>
  <c r="AM15" i="19"/>
  <c r="O15" i="19"/>
  <c r="AA15" i="19"/>
  <c r="O55" i="19"/>
  <c r="AM45" i="19"/>
  <c r="U35" i="19"/>
  <c r="O35" i="19"/>
  <c r="O45" i="19"/>
  <c r="AM35" i="19"/>
  <c r="AA35" i="19"/>
  <c r="AA45" i="19"/>
  <c r="AI35" i="19"/>
  <c r="AC55" i="19"/>
  <c r="AB35" i="19"/>
  <c r="Q6" i="19"/>
  <c r="Z36" i="19"/>
  <c r="AH25" i="19"/>
  <c r="AC35" i="19"/>
  <c r="W55" i="19"/>
  <c r="K55" i="19"/>
  <c r="Q55" i="19"/>
  <c r="J55" i="19"/>
  <c r="J45" i="19"/>
  <c r="K35" i="19"/>
  <c r="AI25" i="19"/>
  <c r="AI26" i="19"/>
  <c r="AI16" i="19"/>
  <c r="AC36" i="19"/>
  <c r="J35" i="19"/>
  <c r="AC15" i="19"/>
  <c r="AI36" i="19"/>
  <c r="AI6" i="19"/>
  <c r="Q26" i="19"/>
  <c r="W46" i="19"/>
  <c r="W16" i="19"/>
  <c r="AC26" i="19"/>
  <c r="K6" i="19"/>
  <c r="Q46" i="19"/>
  <c r="K26" i="19"/>
  <c r="P15" i="19"/>
  <c r="Q15" i="19"/>
  <c r="Q35" i="19"/>
  <c r="W25" i="19"/>
  <c r="AC25" i="19"/>
  <c r="L7" i="19"/>
  <c r="Q25" i="19"/>
  <c r="Q45" i="19"/>
  <c r="W15" i="19"/>
  <c r="AC45" i="19"/>
  <c r="W35" i="19"/>
  <c r="AI45" i="19"/>
  <c r="W45" i="19"/>
  <c r="AH15" i="19"/>
  <c r="J25" i="19"/>
  <c r="P55" i="19"/>
  <c r="AB25" i="19"/>
  <c r="V15" i="19"/>
  <c r="V45" i="19"/>
  <c r="AB55" i="19"/>
  <c r="AH55" i="19"/>
  <c r="V25" i="19"/>
  <c r="V35" i="19"/>
  <c r="AB15" i="19"/>
  <c r="P25" i="19"/>
  <c r="P45" i="19"/>
  <c r="AH35" i="19"/>
  <c r="AB45" i="19"/>
  <c r="AH45" i="19"/>
  <c r="K45" i="19"/>
  <c r="K15" i="19"/>
  <c r="AI55" i="19"/>
  <c r="T17" i="19"/>
  <c r="N27" i="19"/>
  <c r="N47" i="19"/>
  <c r="Z17" i="19"/>
  <c r="AL27" i="19"/>
  <c r="S27" i="19"/>
  <c r="AE27" i="19"/>
  <c r="AE17" i="19"/>
  <c r="M47" i="19"/>
  <c r="AE47" i="19"/>
  <c r="U26" i="19"/>
  <c r="AG46" i="19"/>
  <c r="AM26" i="19"/>
  <c r="Z46" i="19"/>
  <c r="N46" i="19"/>
  <c r="T6" i="19"/>
  <c r="AL36" i="19"/>
  <c r="Z16" i="19"/>
  <c r="T26" i="19"/>
  <c r="O6" i="19"/>
  <c r="AD46" i="19"/>
  <c r="R6" i="19"/>
  <c r="X26" i="19"/>
  <c r="L26" i="19"/>
  <c r="AD16" i="19"/>
  <c r="L36" i="19"/>
  <c r="AJ6" i="19"/>
  <c r="AJ36" i="19"/>
  <c r="L16" i="19"/>
  <c r="X16" i="19"/>
  <c r="AD36" i="19"/>
  <c r="R26" i="19"/>
  <c r="AJ26" i="19"/>
  <c r="R46" i="19"/>
  <c r="AD6" i="19"/>
  <c r="L46" i="19"/>
  <c r="AD26" i="19"/>
  <c r="L6" i="19"/>
  <c r="X6" i="19"/>
  <c r="R36" i="19"/>
  <c r="R16" i="19"/>
  <c r="AJ46" i="19"/>
  <c r="X36" i="19"/>
  <c r="X46" i="19"/>
  <c r="AJ16" i="19"/>
  <c r="AK46" i="19"/>
  <c r="M16" i="19"/>
  <c r="M46" i="19"/>
  <c r="AE46" i="19"/>
  <c r="AE36" i="19"/>
  <c r="M36" i="19"/>
  <c r="S36" i="19"/>
  <c r="Y46" i="19"/>
  <c r="Y26" i="19"/>
  <c r="AE16" i="19"/>
  <c r="AK26" i="19"/>
  <c r="AK6" i="19"/>
  <c r="S26" i="19"/>
  <c r="M6" i="19"/>
  <c r="S16" i="19"/>
  <c r="Y36" i="19"/>
  <c r="AK36" i="19"/>
  <c r="AK16" i="19"/>
  <c r="Y6" i="19"/>
  <c r="S6" i="19"/>
  <c r="M26" i="19"/>
  <c r="S46" i="19"/>
  <c r="Y16" i="19"/>
  <c r="AE26" i="19"/>
  <c r="AE6" i="19"/>
  <c r="AG16" i="19"/>
  <c r="AM16" i="19"/>
  <c r="U16" i="19"/>
  <c r="AD47" i="19"/>
  <c r="O36" i="19"/>
  <c r="AM46" i="19"/>
  <c r="AA46" i="19"/>
  <c r="R17" i="19"/>
  <c r="AA36" i="19"/>
  <c r="O26" i="19"/>
  <c r="AA26" i="19"/>
  <c r="U6" i="19"/>
  <c r="O16" i="19"/>
  <c r="AM6" i="19"/>
  <c r="AA6" i="19"/>
  <c r="AM36" i="19"/>
  <c r="U46" i="19"/>
  <c r="AG26" i="19"/>
  <c r="AA16" i="19"/>
  <c r="U36" i="19"/>
  <c r="AG36" i="19"/>
  <c r="O46" i="19"/>
  <c r="N16" i="19"/>
  <c r="T36" i="19"/>
  <c r="T16" i="19"/>
  <c r="Z6" i="19"/>
  <c r="AL46" i="19"/>
  <c r="AF6" i="19"/>
  <c r="N26" i="19"/>
  <c r="AF26" i="19"/>
  <c r="Z26" i="19"/>
  <c r="T46" i="19"/>
  <c r="AL16" i="19"/>
  <c r="AF16" i="19"/>
  <c r="N36" i="19"/>
  <c r="AL26" i="19"/>
  <c r="AF36" i="19"/>
  <c r="AF46" i="19"/>
  <c r="L47" i="19"/>
  <c r="N6" i="19"/>
  <c r="AL6" i="19"/>
  <c r="AK37" i="19"/>
  <c r="M7" i="19"/>
  <c r="AI15" i="19"/>
  <c r="K25" i="19"/>
  <c r="R47" i="19"/>
  <c r="AJ37" i="19"/>
  <c r="X27" i="19"/>
  <c r="R27" i="19"/>
  <c r="AJ7" i="19"/>
  <c r="X47" i="19"/>
  <c r="AJ47" i="19"/>
  <c r="L37" i="19"/>
  <c r="AD17" i="19"/>
  <c r="AD27" i="19"/>
  <c r="AJ17" i="19"/>
  <c r="L17" i="19"/>
  <c r="R37" i="19"/>
  <c r="X37" i="19"/>
  <c r="X7" i="19"/>
  <c r="AD7" i="19"/>
  <c r="X17" i="19"/>
  <c r="AD37" i="19"/>
  <c r="L27" i="19"/>
  <c r="AJ27" i="19"/>
  <c r="R7" i="19"/>
  <c r="L55" i="19"/>
  <c r="AD25" i="19"/>
  <c r="L45" i="19"/>
  <c r="AJ25" i="19"/>
  <c r="X55" i="19"/>
  <c r="AD15" i="19"/>
  <c r="AD55" i="19"/>
  <c r="AJ55" i="19"/>
  <c r="L15" i="19"/>
  <c r="R15" i="19"/>
  <c r="R25" i="19"/>
  <c r="X15" i="19"/>
  <c r="AD45" i="19"/>
  <c r="AJ15" i="19"/>
  <c r="X25" i="19"/>
  <c r="R35" i="19"/>
  <c r="L35" i="19"/>
  <c r="R45" i="19"/>
  <c r="X45" i="19"/>
  <c r="AJ45" i="19"/>
  <c r="AD35" i="19"/>
  <c r="L25" i="19"/>
  <c r="R55" i="19"/>
  <c r="AJ35" i="19"/>
  <c r="X35" i="19"/>
  <c r="T25" i="19"/>
  <c r="AF25" i="19"/>
  <c r="AF15" i="19"/>
  <c r="T55" i="19"/>
  <c r="Z25" i="19"/>
  <c r="N35" i="19"/>
  <c r="AL35" i="19"/>
  <c r="T45" i="19"/>
  <c r="AL25" i="19"/>
  <c r="T35" i="19"/>
  <c r="AF55" i="19"/>
  <c r="Z45" i="19"/>
  <c r="AF45" i="19"/>
  <c r="Z15" i="19"/>
  <c r="N25" i="19"/>
  <c r="AF35" i="19"/>
  <c r="T15" i="19"/>
  <c r="Z35" i="19"/>
  <c r="AL45" i="19"/>
  <c r="N55" i="19"/>
  <c r="N15" i="19"/>
  <c r="Z55" i="19"/>
  <c r="AL55" i="19"/>
  <c r="AL15" i="19"/>
  <c r="N45" i="19"/>
  <c r="AH12" i="18"/>
  <c r="J36" i="18"/>
  <c r="V12" i="18"/>
  <c r="J28" i="18"/>
  <c r="J20" i="18"/>
  <c r="AH20" i="18"/>
  <c r="V28" i="18"/>
  <c r="AH36" i="18"/>
  <c r="P20" i="18"/>
  <c r="AB20" i="18"/>
  <c r="J44" i="18"/>
  <c r="P44" i="18"/>
  <c r="AH44" i="18"/>
  <c r="P12" i="18"/>
  <c r="AB28" i="18"/>
  <c r="AB12" i="18"/>
  <c r="J12" i="18"/>
  <c r="P28" i="18"/>
  <c r="P36" i="18"/>
  <c r="AH28" i="18"/>
  <c r="V44" i="18"/>
  <c r="AB36" i="18"/>
  <c r="AB44" i="18"/>
  <c r="V36" i="18"/>
  <c r="V20" i="18"/>
  <c r="R14" i="1"/>
  <c r="AD35" i="1" l="1"/>
  <c r="AD15" i="1"/>
  <c r="R9" i="1"/>
  <c r="R18" i="1"/>
  <c r="R37" i="1"/>
  <c r="S37" i="1" l="1"/>
  <c r="S18" i="1"/>
  <c r="AD36" i="1"/>
  <c r="S14" i="1"/>
  <c r="AD17" i="1"/>
  <c r="AK17" i="1" s="1"/>
  <c r="AD18" i="1" s="1"/>
  <c r="AD34" i="1"/>
  <c r="R24" i="1"/>
  <c r="R25" i="1"/>
  <c r="R29" i="1"/>
  <c r="R13" i="1"/>
  <c r="R27" i="1"/>
  <c r="R23" i="1"/>
  <c r="R32" i="1"/>
  <c r="T37" i="1" l="1"/>
  <c r="U37" i="1"/>
  <c r="S32" i="1"/>
  <c r="S29" i="1"/>
  <c r="S27" i="1"/>
  <c r="S25" i="1"/>
  <c r="S24" i="1"/>
  <c r="S23" i="1"/>
  <c r="U18" i="1"/>
  <c r="T18" i="1"/>
  <c r="AD22" i="19"/>
  <c r="U14" i="1"/>
  <c r="T14" i="1"/>
  <c r="S13" i="1"/>
  <c r="AD10" i="1"/>
  <c r="AD30" i="1"/>
  <c r="U43" i="19"/>
  <c r="AD40" i="1"/>
  <c r="AD8" i="1"/>
  <c r="B221" i="13" a="1"/>
  <c r="R39" i="1"/>
  <c r="R28" i="1"/>
  <c r="R21" i="1"/>
  <c r="R43" i="1"/>
  <c r="R42" i="1"/>
  <c r="R35" i="1"/>
  <c r="R19" i="1"/>
  <c r="R31" i="1"/>
  <c r="R16" i="1"/>
  <c r="R38" i="1"/>
  <c r="R11" i="1"/>
  <c r="S42" i="1" l="1"/>
  <c r="S43" i="1"/>
  <c r="S39" i="1"/>
  <c r="S38" i="1"/>
  <c r="S35" i="1"/>
  <c r="T32" i="1"/>
  <c r="U32" i="1"/>
  <c r="S31" i="1"/>
  <c r="Z28" i="18"/>
  <c r="AF44" i="18"/>
  <c r="AL36" i="18"/>
  <c r="N36" i="18"/>
  <c r="T28" i="18"/>
  <c r="Z20" i="18"/>
  <c r="AF12" i="18"/>
  <c r="N44" i="18"/>
  <c r="T36" i="18"/>
  <c r="Z44" i="18"/>
  <c r="AF36" i="18"/>
  <c r="AL28" i="18"/>
  <c r="N28" i="18"/>
  <c r="T20" i="18"/>
  <c r="Z12" i="18"/>
  <c r="N12" i="18"/>
  <c r="AF20" i="18"/>
  <c r="T44" i="18"/>
  <c r="Z36" i="18"/>
  <c r="AF28" i="18"/>
  <c r="AL20" i="18"/>
  <c r="N20" i="18"/>
  <c r="T12" i="18"/>
  <c r="AL12" i="18"/>
  <c r="AL44" i="18"/>
  <c r="T29" i="1"/>
  <c r="U29" i="1"/>
  <c r="T27" i="1"/>
  <c r="U27" i="1"/>
  <c r="S28" i="1"/>
  <c r="T25" i="1"/>
  <c r="U25" i="1"/>
  <c r="T23" i="1"/>
  <c r="U23" i="1"/>
  <c r="T24" i="1"/>
  <c r="U24" i="1"/>
  <c r="S21" i="1"/>
  <c r="S19" i="1"/>
  <c r="S16" i="1"/>
  <c r="U13" i="1"/>
  <c r="T13" i="1"/>
  <c r="Z20" i="19"/>
  <c r="S11" i="1"/>
  <c r="AL41" i="19"/>
  <c r="N21" i="19"/>
  <c r="T41" i="19"/>
  <c r="AF51" i="19"/>
  <c r="AL31" i="19"/>
  <c r="AL21" i="19"/>
  <c r="Z41" i="19"/>
  <c r="N51" i="19"/>
  <c r="Z11" i="19"/>
  <c r="AL51" i="19"/>
  <c r="AF21" i="19"/>
  <c r="N41" i="19"/>
  <c r="T21" i="19"/>
  <c r="T31" i="19"/>
  <c r="AF11" i="19"/>
  <c r="AL11" i="19"/>
  <c r="Z31" i="19"/>
  <c r="U29" i="19"/>
  <c r="AG39" i="19"/>
  <c r="AA19" i="19"/>
  <c r="AF20" i="19"/>
  <c r="AF50" i="19"/>
  <c r="Z30" i="19"/>
  <c r="AJ30" i="1"/>
  <c r="AK30" i="1"/>
  <c r="AD31" i="1" s="1"/>
  <c r="AK31" i="1" s="1"/>
  <c r="AD32" i="1" s="1"/>
  <c r="AA28" i="19"/>
  <c r="U48" i="19"/>
  <c r="U24" i="19"/>
  <c r="U14" i="19"/>
  <c r="AM34" i="19"/>
  <c r="AA14" i="19"/>
  <c r="O54" i="19"/>
  <c r="AM24" i="19"/>
  <c r="AG14" i="19"/>
  <c r="AM14" i="19"/>
  <c r="AG44" i="19"/>
  <c r="AG34" i="19"/>
  <c r="O24" i="19"/>
  <c r="O44" i="19"/>
  <c r="O14" i="19"/>
  <c r="U34" i="19"/>
  <c r="U44" i="19"/>
  <c r="AA44" i="19"/>
  <c r="AG24" i="19"/>
  <c r="AG54" i="19"/>
  <c r="AA34" i="19"/>
  <c r="AA24" i="19"/>
  <c r="AM44" i="19"/>
  <c r="AM54" i="19"/>
  <c r="U54" i="19"/>
  <c r="AA54" i="19"/>
  <c r="O34" i="19"/>
  <c r="U32" i="19"/>
  <c r="O42" i="19"/>
  <c r="O32" i="19"/>
  <c r="AM12" i="19"/>
  <c r="O22" i="19"/>
  <c r="U22" i="19"/>
  <c r="AM42" i="19"/>
  <c r="AA32" i="19"/>
  <c r="AA22" i="19"/>
  <c r="AA52" i="19"/>
  <c r="AG52" i="19"/>
  <c r="U52" i="19"/>
  <c r="AM22" i="19"/>
  <c r="AM52" i="19"/>
  <c r="O52" i="19"/>
  <c r="AG12" i="19"/>
  <c r="AG32" i="19"/>
  <c r="AA42" i="19"/>
  <c r="AG42" i="19"/>
  <c r="U12" i="19"/>
  <c r="AM32" i="19"/>
  <c r="AA12" i="19"/>
  <c r="O12" i="19"/>
  <c r="AG22" i="19"/>
  <c r="U42" i="19"/>
  <c r="T49" i="19"/>
  <c r="Z29" i="19"/>
  <c r="T19" i="19"/>
  <c r="N20" i="19"/>
  <c r="AF40" i="19"/>
  <c r="T40" i="19"/>
  <c r="N8" i="19"/>
  <c r="AD7" i="1"/>
  <c r="AD12" i="1"/>
  <c r="AJ12" i="1" s="1"/>
  <c r="Z50" i="19"/>
  <c r="Z40" i="19"/>
  <c r="N10" i="19"/>
  <c r="N40" i="19"/>
  <c r="AL40" i="19"/>
  <c r="AF10" i="19"/>
  <c r="T10" i="19"/>
  <c r="N50" i="19"/>
  <c r="AG23" i="19"/>
  <c r="T20" i="19"/>
  <c r="AL10" i="19"/>
  <c r="AL20" i="19"/>
  <c r="N30" i="19"/>
  <c r="T48" i="19"/>
  <c r="AG10" i="19"/>
  <c r="AD20" i="1"/>
  <c r="AK20" i="1" s="1"/>
  <c r="AD21" i="1" s="1"/>
  <c r="AJ21" i="1" s="1"/>
  <c r="AD22" i="1"/>
  <c r="AK22" i="1" s="1"/>
  <c r="AD23" i="1" s="1"/>
  <c r="AD26" i="1"/>
  <c r="AJ26" i="1" s="1"/>
  <c r="AF30" i="19"/>
  <c r="Z10" i="19"/>
  <c r="T30" i="19"/>
  <c r="N18" i="19"/>
  <c r="AL30" i="19"/>
  <c r="AL50" i="19"/>
  <c r="T50" i="19"/>
  <c r="S9" i="1"/>
  <c r="Z7" i="19"/>
  <c r="AL48" i="19"/>
  <c r="R42" i="19"/>
  <c r="AA41" i="19"/>
  <c r="AF41" i="19"/>
  <c r="N31" i="19"/>
  <c r="X32" i="19"/>
  <c r="AJ22" i="19"/>
  <c r="L32" i="19"/>
  <c r="R52" i="19"/>
  <c r="AD12" i="19"/>
  <c r="AJ12" i="19"/>
  <c r="L22" i="19"/>
  <c r="AD32" i="19"/>
  <c r="AJ52" i="19"/>
  <c r="X22" i="19"/>
  <c r="L42" i="19"/>
  <c r="AD42" i="19"/>
  <c r="AD52" i="19"/>
  <c r="R32" i="19"/>
  <c r="AJ42" i="19"/>
  <c r="X42" i="19"/>
  <c r="R22" i="19"/>
  <c r="L52" i="19"/>
  <c r="R12" i="19"/>
  <c r="AA10" i="19"/>
  <c r="AA23" i="19"/>
  <c r="AG13" i="19"/>
  <c r="O23" i="19"/>
  <c r="U33" i="19"/>
  <c r="AG43" i="19"/>
  <c r="AA13" i="19"/>
  <c r="O53" i="19"/>
  <c r="AA33" i="19"/>
  <c r="AM43" i="19"/>
  <c r="AM33" i="19"/>
  <c r="AM23" i="19"/>
  <c r="AA53" i="19"/>
  <c r="AG53" i="19"/>
  <c r="O13" i="19"/>
  <c r="U13" i="19"/>
  <c r="O33" i="19"/>
  <c r="AM53" i="19"/>
  <c r="U23" i="19"/>
  <c r="U53" i="19"/>
  <c r="O43" i="19"/>
  <c r="AG33" i="19"/>
  <c r="AM13" i="19"/>
  <c r="AA43" i="19"/>
  <c r="M27" i="19"/>
  <c r="AK7" i="19"/>
  <c r="AK47" i="19"/>
  <c r="Y47" i="19"/>
  <c r="Y17" i="19"/>
  <c r="S37" i="19"/>
  <c r="Y27" i="19"/>
  <c r="AK17" i="19"/>
  <c r="Y37" i="19"/>
  <c r="M37" i="19"/>
  <c r="AK27" i="19"/>
  <c r="Y7" i="19"/>
  <c r="S47" i="19"/>
  <c r="S7" i="19"/>
  <c r="AE7" i="19"/>
  <c r="N11" i="19"/>
  <c r="AF31" i="19"/>
  <c r="T51" i="19"/>
  <c r="S17" i="19"/>
  <c r="T11" i="19"/>
  <c r="AE37" i="19"/>
  <c r="AJ17" i="1"/>
  <c r="X52" i="19"/>
  <c r="AK15" i="1"/>
  <c r="AD16" i="1" s="1"/>
  <c r="AJ15" i="1"/>
  <c r="N49" i="19"/>
  <c r="N39" i="19"/>
  <c r="T9" i="19"/>
  <c r="N29" i="19"/>
  <c r="Z9" i="19"/>
  <c r="Z39" i="19"/>
  <c r="AL39" i="19"/>
  <c r="Z49" i="19"/>
  <c r="N19" i="19"/>
  <c r="AL9" i="19"/>
  <c r="T39" i="19"/>
  <c r="AF9" i="19"/>
  <c r="AF49" i="19"/>
  <c r="AF39" i="19"/>
  <c r="AF19" i="19"/>
  <c r="AL29" i="19"/>
  <c r="N9" i="19"/>
  <c r="T29" i="19"/>
  <c r="Z19" i="19"/>
  <c r="AF29" i="19"/>
  <c r="AL49" i="19"/>
  <c r="AG8" i="19"/>
  <c r="O48" i="19"/>
  <c r="AG28" i="19"/>
  <c r="O38" i="19"/>
  <c r="AM48" i="19"/>
  <c r="U18" i="19"/>
  <c r="AG18" i="19"/>
  <c r="AA48" i="19"/>
  <c r="U8" i="19"/>
  <c r="U38" i="19"/>
  <c r="U28" i="19"/>
  <c r="AG38" i="19"/>
  <c r="AM8" i="19"/>
  <c r="O8" i="19"/>
  <c r="AG48" i="19"/>
  <c r="AM18" i="19"/>
  <c r="AM28" i="19"/>
  <c r="O28" i="19"/>
  <c r="AA18" i="19"/>
  <c r="AA38" i="19"/>
  <c r="AA8" i="19"/>
  <c r="AM38" i="19"/>
  <c r="AK40" i="1"/>
  <c r="AJ40" i="1"/>
  <c r="AJ34" i="1"/>
  <c r="AK34" i="1"/>
  <c r="AK8" i="1"/>
  <c r="AD9" i="1" s="1"/>
  <c r="AJ8" i="1"/>
  <c r="AM41" i="19"/>
  <c r="AA31" i="19"/>
  <c r="AA11" i="19"/>
  <c r="AG31" i="19"/>
  <c r="AM21" i="19"/>
  <c r="O31" i="19"/>
  <c r="AM11" i="19"/>
  <c r="U21" i="19"/>
  <c r="O11" i="19"/>
  <c r="O51" i="19"/>
  <c r="AG41" i="19"/>
  <c r="AA51" i="19"/>
  <c r="U31" i="19"/>
  <c r="O41" i="19"/>
  <c r="AA21" i="19"/>
  <c r="O21" i="19"/>
  <c r="AM51" i="19"/>
  <c r="U11" i="19"/>
  <c r="AG21" i="19"/>
  <c r="U51" i="19"/>
  <c r="U41" i="19"/>
  <c r="AG51" i="19"/>
  <c r="AG11" i="19"/>
  <c r="L12" i="19"/>
  <c r="AM39" i="19"/>
  <c r="U49" i="19"/>
  <c r="O39" i="19"/>
  <c r="AM19" i="19"/>
  <c r="AG49" i="19"/>
  <c r="AM9" i="19"/>
  <c r="O49" i="19"/>
  <c r="AA49" i="19"/>
  <c r="AM49" i="19"/>
  <c r="AG19" i="19"/>
  <c r="O29" i="19"/>
  <c r="O19" i="19"/>
  <c r="AG29" i="19"/>
  <c r="U19" i="19"/>
  <c r="AM29" i="19"/>
  <c r="AA39" i="19"/>
  <c r="U39" i="19"/>
  <c r="U9" i="19"/>
  <c r="O9" i="19"/>
  <c r="AG9" i="19"/>
  <c r="AA9" i="19"/>
  <c r="T27" i="19"/>
  <c r="N37" i="19"/>
  <c r="AF17" i="19"/>
  <c r="N7" i="19"/>
  <c r="T47" i="19"/>
  <c r="Z37" i="19"/>
  <c r="Z47" i="19"/>
  <c r="AL7" i="19"/>
  <c r="AF47" i="19"/>
  <c r="Z27" i="19"/>
  <c r="AL37" i="19"/>
  <c r="AF7" i="19"/>
  <c r="T7" i="19"/>
  <c r="AL47" i="19"/>
  <c r="T37" i="19"/>
  <c r="N17" i="19"/>
  <c r="AL17" i="19"/>
  <c r="AF8" i="19"/>
  <c r="T28" i="19"/>
  <c r="AF28" i="19"/>
  <c r="Z38" i="19"/>
  <c r="AL8" i="19"/>
  <c r="AL28" i="19"/>
  <c r="AF48" i="19"/>
  <c r="AL38" i="19"/>
  <c r="T8" i="19"/>
  <c r="AF18" i="19"/>
  <c r="N48" i="19"/>
  <c r="AF38" i="19"/>
  <c r="N28" i="19"/>
  <c r="Z48" i="19"/>
  <c r="T38" i="19"/>
  <c r="T18" i="19"/>
  <c r="Z8" i="19"/>
  <c r="Z28" i="19"/>
  <c r="AL18" i="19"/>
  <c r="AJ18" i="1"/>
  <c r="AK18" i="1"/>
  <c r="AK36" i="1"/>
  <c r="AD37" i="1" s="1"/>
  <c r="AJ36" i="1"/>
  <c r="AD41" i="1"/>
  <c r="AA30" i="19"/>
  <c r="O50" i="19"/>
  <c r="AA20" i="19"/>
  <c r="AM20" i="19"/>
  <c r="O40" i="19"/>
  <c r="U30" i="19"/>
  <c r="AM50" i="19"/>
  <c r="AA40" i="19"/>
  <c r="AM10" i="19"/>
  <c r="AM30" i="19"/>
  <c r="O20" i="19"/>
  <c r="U10" i="19"/>
  <c r="AG20" i="19"/>
  <c r="AG50" i="19"/>
  <c r="U20" i="19"/>
  <c r="O30" i="19"/>
  <c r="AG40" i="19"/>
  <c r="AM40" i="19"/>
  <c r="AG30" i="19"/>
  <c r="U50" i="19"/>
  <c r="O10" i="19"/>
  <c r="U40" i="19"/>
  <c r="X12" i="19"/>
  <c r="AA29" i="19"/>
  <c r="AK10" i="1"/>
  <c r="AD11" i="1" s="1"/>
  <c r="AJ10" i="1"/>
  <c r="Z51" i="19"/>
  <c r="Z21" i="19"/>
  <c r="M17" i="19"/>
  <c r="AF27" i="19"/>
  <c r="N38" i="19"/>
  <c r="AJ32" i="19"/>
  <c r="AA50" i="19"/>
  <c r="AM31" i="19"/>
  <c r="AL19" i="19"/>
  <c r="O18" i="19"/>
  <c r="B221" i="13"/>
  <c r="H210" i="13" s="1"/>
  <c r="T43" i="1" l="1"/>
  <c r="U43" i="1"/>
  <c r="T42" i="1"/>
  <c r="U42" i="1"/>
  <c r="T38" i="1"/>
  <c r="U38" i="1"/>
  <c r="T39" i="1"/>
  <c r="U39" i="1"/>
  <c r="T35" i="1"/>
  <c r="U35" i="1"/>
  <c r="T31" i="1"/>
  <c r="U31" i="1"/>
  <c r="AK26" i="1"/>
  <c r="AD27" i="1" s="1"/>
  <c r="AK27" i="1" s="1"/>
  <c r="AD28" i="1" s="1"/>
  <c r="T28" i="1"/>
  <c r="U28" i="1"/>
  <c r="AJ22" i="1"/>
  <c r="AJ31" i="1"/>
  <c r="U21" i="1"/>
  <c r="T21" i="1"/>
  <c r="T19" i="1"/>
  <c r="U19" i="1"/>
  <c r="T16" i="1"/>
  <c r="U16" i="1"/>
  <c r="T11" i="1"/>
  <c r="U11" i="1"/>
  <c r="AK21" i="1"/>
  <c r="AK12" i="1"/>
  <c r="AD13" i="1" s="1"/>
  <c r="AJ13" i="1" s="1"/>
  <c r="AJ20" i="1"/>
  <c r="AJ7" i="1"/>
  <c r="AK7" i="1"/>
  <c r="AL12" i="19"/>
  <c r="AL32" i="19"/>
  <c r="AF32" i="19"/>
  <c r="AF22" i="19"/>
  <c r="T52" i="19"/>
  <c r="N32" i="19"/>
  <c r="N12" i="19"/>
  <c r="Z22" i="19"/>
  <c r="N22" i="19"/>
  <c r="Z12" i="19"/>
  <c r="T22" i="19"/>
  <c r="AL52" i="19"/>
  <c r="AF52" i="19"/>
  <c r="AL22" i="19"/>
  <c r="AF42" i="19"/>
  <c r="Z42" i="19"/>
  <c r="N42" i="19"/>
  <c r="T32" i="19"/>
  <c r="AL42" i="19"/>
  <c r="T42" i="19"/>
  <c r="T12" i="19"/>
  <c r="N52" i="19"/>
  <c r="Z52" i="19"/>
  <c r="AF12" i="19"/>
  <c r="Z32" i="19"/>
  <c r="T9" i="1"/>
  <c r="U9" i="1"/>
  <c r="AJ11" i="1"/>
  <c r="AK11" i="1"/>
  <c r="AJ9" i="1"/>
  <c r="AK9" i="1"/>
  <c r="M28" i="19"/>
  <c r="S18" i="19"/>
  <c r="Y48" i="19"/>
  <c r="AE38" i="19"/>
  <c r="Y38" i="19"/>
  <c r="AE48" i="19"/>
  <c r="M8" i="19"/>
  <c r="AK48" i="19"/>
  <c r="M48" i="19"/>
  <c r="S38" i="19"/>
  <c r="Y18" i="19"/>
  <c r="AK38" i="19"/>
  <c r="AK28" i="19"/>
  <c r="M38" i="19"/>
  <c r="S8" i="19"/>
  <c r="Y28" i="19"/>
  <c r="Y8" i="19"/>
  <c r="S48" i="19"/>
  <c r="AE28" i="19"/>
  <c r="S28" i="19"/>
  <c r="AE8" i="19"/>
  <c r="AE18" i="19"/>
  <c r="AK18" i="19"/>
  <c r="AK8" i="19"/>
  <c r="M18" i="19"/>
  <c r="AK41" i="1"/>
  <c r="AD42" i="1" s="1"/>
  <c r="AJ41" i="1"/>
  <c r="AD19" i="1"/>
  <c r="AJ19" i="1" s="1"/>
  <c r="AJ23" i="1"/>
  <c r="AK23" i="1"/>
  <c r="AD24" i="1" s="1"/>
  <c r="AK35" i="1"/>
  <c r="AJ35" i="1"/>
  <c r="AA37" i="19"/>
  <c r="AA17" i="19"/>
  <c r="O27" i="19"/>
  <c r="O7" i="19"/>
  <c r="AA7" i="19"/>
  <c r="AG37" i="19"/>
  <c r="AA47" i="19"/>
  <c r="AM7" i="19"/>
  <c r="AG7" i="19"/>
  <c r="AM47" i="19"/>
  <c r="U47" i="19"/>
  <c r="AG47" i="19"/>
  <c r="O47" i="19"/>
  <c r="AM37" i="19"/>
  <c r="U17" i="19"/>
  <c r="U7" i="19"/>
  <c r="AM27" i="19"/>
  <c r="AG17" i="19"/>
  <c r="O17" i="19"/>
  <c r="U37" i="19"/>
  <c r="AG27" i="19"/>
  <c r="U27" i="19"/>
  <c r="O37" i="19"/>
  <c r="AM17" i="19"/>
  <c r="AA27" i="19"/>
  <c r="AJ37" i="1"/>
  <c r="AK37" i="1"/>
  <c r="AD38" i="1" s="1"/>
  <c r="AK32" i="1"/>
  <c r="AJ32" i="1"/>
  <c r="AJ16" i="1"/>
  <c r="AK16" i="1"/>
  <c r="AE49" i="19"/>
  <c r="Y19" i="19"/>
  <c r="S19" i="19"/>
  <c r="Y9" i="19"/>
  <c r="Y49" i="19"/>
  <c r="AK19" i="19"/>
  <c r="AK29" i="19"/>
  <c r="M39" i="19"/>
  <c r="AK49" i="19"/>
  <c r="Y29" i="19"/>
  <c r="AK39" i="19"/>
  <c r="Y39" i="19"/>
  <c r="S29" i="19"/>
  <c r="AE39" i="19"/>
  <c r="AE9" i="19"/>
  <c r="AE29" i="19"/>
  <c r="M49" i="19"/>
  <c r="M9" i="19"/>
  <c r="AK9" i="19"/>
  <c r="AE19" i="19"/>
  <c r="S49" i="19"/>
  <c r="M19" i="19"/>
  <c r="S9" i="19"/>
  <c r="S39" i="19"/>
  <c r="M29" i="19"/>
  <c r="R8" i="1"/>
  <c r="S8" i="1" s="1"/>
  <c r="R20" i="1"/>
  <c r="S20" i="1" s="1"/>
  <c r="R34" i="1"/>
  <c r="S34" i="1" s="1"/>
  <c r="R12" i="1"/>
  <c r="S12" i="1" s="1"/>
  <c r="R15" i="1"/>
  <c r="S15" i="1" s="1"/>
  <c r="R40" i="1"/>
  <c r="S40" i="1" s="1"/>
  <c r="R33" i="1"/>
  <c r="S33" i="1" s="1"/>
  <c r="R17" i="1"/>
  <c r="S17" i="1" s="1"/>
  <c r="R26" i="1"/>
  <c r="S26" i="1" s="1"/>
  <c r="T26" i="1" s="1"/>
  <c r="R22" i="1"/>
  <c r="S22" i="1" s="1"/>
  <c r="R41" i="1"/>
  <c r="S41" i="1" s="1"/>
  <c r="R10" i="1"/>
  <c r="S10" i="1" s="1"/>
  <c r="R7" i="1"/>
  <c r="S7" i="1" s="1"/>
  <c r="R36" i="1"/>
  <c r="S36" i="1" s="1"/>
  <c r="U36" i="1" s="1"/>
  <c r="R30" i="1"/>
  <c r="S30" i="1" s="1"/>
  <c r="AJ27" i="1" l="1"/>
  <c r="AK13" i="1"/>
  <c r="AD14" i="1" s="1"/>
  <c r="AK14" i="1" s="1"/>
  <c r="Z34" i="19"/>
  <c r="T14" i="19"/>
  <c r="Z54" i="19"/>
  <c r="AL44" i="19"/>
  <c r="N24" i="19"/>
  <c r="Z44" i="19"/>
  <c r="AF14" i="19"/>
  <c r="T24" i="19"/>
  <c r="N44" i="19"/>
  <c r="N54" i="19"/>
  <c r="N14" i="19"/>
  <c r="AF24" i="19"/>
  <c r="AL34" i="19"/>
  <c r="AL14" i="19"/>
  <c r="AL54" i="19"/>
  <c r="T34" i="19"/>
  <c r="AF54" i="19"/>
  <c r="T44" i="19"/>
  <c r="Z24" i="19"/>
  <c r="AF44" i="19"/>
  <c r="N34" i="19"/>
  <c r="T54" i="19"/>
  <c r="AF34" i="19"/>
  <c r="AL24" i="19"/>
  <c r="Z14" i="19"/>
  <c r="N33" i="19"/>
  <c r="AF43" i="19"/>
  <c r="T53" i="19"/>
  <c r="AL23" i="19"/>
  <c r="Z43" i="19"/>
  <c r="N23" i="19"/>
  <c r="T43" i="19"/>
  <c r="N43" i="19"/>
  <c r="AF13" i="19"/>
  <c r="Z53" i="19"/>
  <c r="N13" i="19"/>
  <c r="AL33" i="19"/>
  <c r="AF53" i="19"/>
  <c r="AF23" i="19"/>
  <c r="AL13" i="19"/>
  <c r="Z33" i="19"/>
  <c r="Z13" i="19"/>
  <c r="AF33" i="19"/>
  <c r="AL43" i="19"/>
  <c r="Z23" i="19"/>
  <c r="N53" i="19"/>
  <c r="T33" i="19"/>
  <c r="AL53" i="19"/>
  <c r="T13" i="19"/>
  <c r="T23" i="19"/>
  <c r="S32" i="19"/>
  <c r="AE52" i="19"/>
  <c r="S12" i="19"/>
  <c r="S42" i="19"/>
  <c r="AE22" i="19"/>
  <c r="S22" i="19"/>
  <c r="AE12" i="19"/>
  <c r="Y12" i="19"/>
  <c r="Y32" i="19"/>
  <c r="AK12" i="19"/>
  <c r="M52" i="19"/>
  <c r="AK52" i="19"/>
  <c r="M22" i="19"/>
  <c r="AK42" i="19"/>
  <c r="Y42" i="19"/>
  <c r="AK32" i="19"/>
  <c r="S52" i="19"/>
  <c r="Y22" i="19"/>
  <c r="AE42" i="19"/>
  <c r="AE32" i="19"/>
  <c r="M42" i="19"/>
  <c r="Y52" i="19"/>
  <c r="AK22" i="19"/>
  <c r="M32" i="19"/>
  <c r="M12" i="19"/>
  <c r="AK19" i="1"/>
  <c r="Y30" i="19"/>
  <c r="S40" i="19"/>
  <c r="AK10" i="19"/>
  <c r="M40" i="19"/>
  <c r="AK20" i="19"/>
  <c r="S20" i="19"/>
  <c r="AK40" i="19"/>
  <c r="AE40" i="19"/>
  <c r="AK50" i="19"/>
  <c r="S50" i="19"/>
  <c r="AE50" i="19"/>
  <c r="AE10" i="19"/>
  <c r="Y20" i="19"/>
  <c r="M20" i="19"/>
  <c r="S30" i="19"/>
  <c r="S10" i="19"/>
  <c r="Y10" i="19"/>
  <c r="AK30" i="19"/>
  <c r="M50" i="19"/>
  <c r="AE20" i="19"/>
  <c r="Y40" i="19"/>
  <c r="Y50" i="19"/>
  <c r="AE30" i="19"/>
  <c r="M30" i="19"/>
  <c r="M10" i="19"/>
  <c r="L40" i="19"/>
  <c r="X40" i="19"/>
  <c r="AD20" i="19"/>
  <c r="R40" i="19"/>
  <c r="X10" i="19"/>
  <c r="X30" i="19"/>
  <c r="AD30" i="19"/>
  <c r="AJ10" i="19"/>
  <c r="R20" i="19"/>
  <c r="X20" i="19"/>
  <c r="R30" i="19"/>
  <c r="L50" i="19"/>
  <c r="AJ40" i="19"/>
  <c r="AD40" i="19"/>
  <c r="X50" i="19"/>
  <c r="L20" i="19"/>
  <c r="AJ30" i="19"/>
  <c r="L10" i="19"/>
  <c r="AD10" i="19"/>
  <c r="AJ50" i="19"/>
  <c r="R50" i="19"/>
  <c r="L30" i="19"/>
  <c r="AJ20" i="19"/>
  <c r="R10" i="19"/>
  <c r="AD50" i="19"/>
  <c r="AJ42" i="1"/>
  <c r="AK42" i="1"/>
  <c r="AD43" i="1" s="1"/>
  <c r="AK38" i="1"/>
  <c r="AD39" i="1" s="1"/>
  <c r="AJ38" i="1"/>
  <c r="AK24" i="1"/>
  <c r="AD25" i="1" s="1"/>
  <c r="AJ24" i="1"/>
  <c r="X28" i="19"/>
  <c r="X38" i="19"/>
  <c r="AD48" i="19"/>
  <c r="AD28" i="19"/>
  <c r="AJ18" i="19"/>
  <c r="AJ28" i="19"/>
  <c r="AD38" i="19"/>
  <c r="AJ48" i="19"/>
  <c r="L28" i="19"/>
  <c r="R48" i="19"/>
  <c r="X48" i="19"/>
  <c r="AD8" i="19"/>
  <c r="X8" i="19"/>
  <c r="AJ8" i="19"/>
  <c r="L38" i="19"/>
  <c r="R38" i="19"/>
  <c r="L48" i="19"/>
  <c r="X18" i="19"/>
  <c r="AD18" i="19"/>
  <c r="R28" i="19"/>
  <c r="R18" i="19"/>
  <c r="R8" i="19"/>
  <c r="AJ38" i="19"/>
  <c r="L18" i="19"/>
  <c r="L8" i="19"/>
  <c r="AK28" i="1"/>
  <c r="AD29" i="1" s="1"/>
  <c r="AJ28" i="1"/>
  <c r="N40" i="18"/>
  <c r="U17" i="1"/>
  <c r="T40" i="18"/>
  <c r="AL40" i="18"/>
  <c r="T24" i="18"/>
  <c r="AL24" i="18"/>
  <c r="N24" i="18"/>
  <c r="T17" i="1"/>
  <c r="AM17" i="1" s="1"/>
  <c r="N16" i="18"/>
  <c r="Z40" i="18"/>
  <c r="AF24" i="18"/>
  <c r="N8" i="18"/>
  <c r="T16" i="18"/>
  <c r="AF8" i="18"/>
  <c r="AF32" i="18"/>
  <c r="T32" i="18"/>
  <c r="AL32" i="18"/>
  <c r="Z32" i="18"/>
  <c r="Z16" i="18"/>
  <c r="AF40" i="18"/>
  <c r="AL8" i="18"/>
  <c r="Z24" i="18"/>
  <c r="N32" i="18"/>
  <c r="Z8" i="18"/>
  <c r="T8" i="18"/>
  <c r="AF16" i="18"/>
  <c r="AL16" i="18"/>
  <c r="T30" i="1"/>
  <c r="AM30" i="1" s="1"/>
  <c r="U30" i="1"/>
  <c r="T33" i="1"/>
  <c r="U33" i="1"/>
  <c r="T41" i="1"/>
  <c r="AM41" i="1" s="1"/>
  <c r="U41" i="1"/>
  <c r="T36" i="1"/>
  <c r="U40" i="1"/>
  <c r="T40" i="1"/>
  <c r="AM40" i="1" s="1"/>
  <c r="AL40" i="1" s="1"/>
  <c r="AN40" i="1" s="1"/>
  <c r="AH6" i="18"/>
  <c r="V22" i="18"/>
  <c r="AH22" i="18"/>
  <c r="P14" i="18"/>
  <c r="AB38" i="18"/>
  <c r="J22" i="18"/>
  <c r="V30" i="18"/>
  <c r="AH30" i="18"/>
  <c r="P22" i="18"/>
  <c r="AH38" i="18"/>
  <c r="T7" i="1"/>
  <c r="AM7" i="1" s="1"/>
  <c r="AL7" i="1" s="1"/>
  <c r="J38" i="18"/>
  <c r="AB30" i="18"/>
  <c r="J30" i="18"/>
  <c r="V6" i="18"/>
  <c r="P30" i="18"/>
  <c r="AH14" i="18"/>
  <c r="AB22" i="18"/>
  <c r="V38" i="18"/>
  <c r="V14" i="18"/>
  <c r="U7" i="1"/>
  <c r="J14" i="18"/>
  <c r="AB6" i="18"/>
  <c r="AB14" i="18"/>
  <c r="J6" i="18"/>
  <c r="P6" i="18"/>
  <c r="P38" i="18"/>
  <c r="AJ24" i="18"/>
  <c r="L32" i="18"/>
  <c r="X8" i="18"/>
  <c r="AJ32" i="18"/>
  <c r="X32" i="18"/>
  <c r="R16" i="18"/>
  <c r="AD40" i="18"/>
  <c r="R40" i="18"/>
  <c r="AJ16" i="18"/>
  <c r="T15" i="1"/>
  <c r="AM15" i="1" s="1"/>
  <c r="L16" i="18"/>
  <c r="AJ8" i="18"/>
  <c r="U15" i="1"/>
  <c r="AD16" i="18"/>
  <c r="AJ40" i="18"/>
  <c r="L8" i="18"/>
  <c r="AD32" i="18"/>
  <c r="AD8" i="18"/>
  <c r="L40" i="18"/>
  <c r="X24" i="18"/>
  <c r="X16" i="18"/>
  <c r="X40" i="18"/>
  <c r="L24" i="18"/>
  <c r="AD24" i="18"/>
  <c r="R24" i="18"/>
  <c r="R32" i="18"/>
  <c r="R8" i="18"/>
  <c r="AF6" i="18"/>
  <c r="T30" i="18"/>
  <c r="N38" i="18"/>
  <c r="AL6" i="18"/>
  <c r="AF30" i="18"/>
  <c r="AF22" i="18"/>
  <c r="AF14" i="18"/>
  <c r="T14" i="18"/>
  <c r="U10" i="1"/>
  <c r="Z14" i="18"/>
  <c r="AL14" i="18"/>
  <c r="T6" i="18"/>
  <c r="AF38" i="18"/>
  <c r="AL38" i="18"/>
  <c r="AL30" i="18"/>
  <c r="Z22" i="18"/>
  <c r="Z38" i="18"/>
  <c r="N30" i="18"/>
  <c r="Z30" i="18"/>
  <c r="T10" i="1"/>
  <c r="AM10" i="1" s="1"/>
  <c r="N6" i="18"/>
  <c r="T38" i="18"/>
  <c r="N22" i="18"/>
  <c r="N14" i="18"/>
  <c r="Z6" i="18"/>
  <c r="T22" i="18"/>
  <c r="AL22" i="18"/>
  <c r="AH40" i="18"/>
  <c r="V24" i="18"/>
  <c r="AB16" i="18"/>
  <c r="AB8" i="18"/>
  <c r="AH24" i="18"/>
  <c r="J40" i="18"/>
  <c r="V40" i="18"/>
  <c r="U12" i="1"/>
  <c r="J24" i="18"/>
  <c r="P16" i="18"/>
  <c r="V32" i="18"/>
  <c r="P32" i="18"/>
  <c r="AH32" i="18"/>
  <c r="AH16" i="18"/>
  <c r="V8" i="18"/>
  <c r="P24" i="18"/>
  <c r="P8" i="18"/>
  <c r="V16" i="18"/>
  <c r="AH8" i="18"/>
  <c r="AB24" i="18"/>
  <c r="J8" i="18"/>
  <c r="J32" i="18"/>
  <c r="AB40" i="18"/>
  <c r="J16" i="18"/>
  <c r="AB32" i="18"/>
  <c r="T12" i="1"/>
  <c r="AM12" i="1" s="1"/>
  <c r="P40" i="18"/>
  <c r="T34" i="1"/>
  <c r="AM34" i="1" s="1"/>
  <c r="U34" i="1"/>
  <c r="R26" i="18"/>
  <c r="X34" i="18"/>
  <c r="R34" i="18"/>
  <c r="AJ42" i="18"/>
  <c r="R42" i="18"/>
  <c r="X42" i="18"/>
  <c r="U22" i="1"/>
  <c r="L10" i="18"/>
  <c r="L42" i="18"/>
  <c r="AD18" i="18"/>
  <c r="X10" i="18"/>
  <c r="R10" i="18"/>
  <c r="X18" i="18"/>
  <c r="AD26" i="18"/>
  <c r="AD10" i="18"/>
  <c r="L18" i="18"/>
  <c r="AJ18" i="18"/>
  <c r="AJ10" i="18"/>
  <c r="X26" i="18"/>
  <c r="AJ34" i="18"/>
  <c r="L34" i="18"/>
  <c r="T22" i="1"/>
  <c r="AM22" i="1" s="1"/>
  <c r="AD34" i="18"/>
  <c r="AJ26" i="18"/>
  <c r="R18" i="18"/>
  <c r="AD42" i="18"/>
  <c r="L26" i="18"/>
  <c r="AH26" i="18"/>
  <c r="V18" i="18"/>
  <c r="P18" i="18"/>
  <c r="AB10" i="18"/>
  <c r="AH34" i="18"/>
  <c r="T20" i="1"/>
  <c r="AM20" i="1" s="1"/>
  <c r="V10" i="18"/>
  <c r="AH18" i="18"/>
  <c r="J42" i="18"/>
  <c r="AH42" i="18"/>
  <c r="AB34" i="18"/>
  <c r="V34" i="18"/>
  <c r="AB26" i="18"/>
  <c r="AB18" i="18"/>
  <c r="P10" i="18"/>
  <c r="J10" i="18"/>
  <c r="V42" i="18"/>
  <c r="V26" i="18"/>
  <c r="J34" i="18"/>
  <c r="J26" i="18"/>
  <c r="AB42" i="18"/>
  <c r="J18" i="18"/>
  <c r="P26" i="18"/>
  <c r="P42" i="18"/>
  <c r="P34" i="18"/>
  <c r="U20" i="1"/>
  <c r="AH10" i="18"/>
  <c r="Z26" i="18"/>
  <c r="T34" i="18"/>
  <c r="T18" i="18"/>
  <c r="AL18" i="18"/>
  <c r="AL26" i="18"/>
  <c r="AF26" i="18"/>
  <c r="AL42" i="18"/>
  <c r="Z18" i="18"/>
  <c r="Z42" i="18"/>
  <c r="AF18" i="18"/>
  <c r="AF42" i="18"/>
  <c r="N26" i="18"/>
  <c r="AF10" i="18"/>
  <c r="Z34" i="18"/>
  <c r="N18" i="18"/>
  <c r="T10" i="18"/>
  <c r="T42" i="18"/>
  <c r="N10" i="18"/>
  <c r="AL34" i="18"/>
  <c r="AL10" i="18"/>
  <c r="N34" i="18"/>
  <c r="AF34" i="18"/>
  <c r="N42" i="18"/>
  <c r="U26" i="1"/>
  <c r="T26" i="18"/>
  <c r="AM26" i="1"/>
  <c r="Z10" i="18"/>
  <c r="AJ6" i="18"/>
  <c r="X38" i="18"/>
  <c r="R22" i="18"/>
  <c r="R38" i="18"/>
  <c r="T8" i="1"/>
  <c r="AM8" i="1" s="1"/>
  <c r="U8" i="1"/>
  <c r="X6" i="18"/>
  <c r="AJ38" i="18"/>
  <c r="X22" i="18"/>
  <c r="R6" i="18"/>
  <c r="AJ30" i="18"/>
  <c r="R30" i="18"/>
  <c r="AJ14" i="18"/>
  <c r="AD6" i="18"/>
  <c r="AD38" i="18"/>
  <c r="L22" i="18"/>
  <c r="X14" i="18"/>
  <c r="L38" i="18"/>
  <c r="AD30" i="18"/>
  <c r="AD22" i="18"/>
  <c r="L14" i="18"/>
  <c r="L6" i="18"/>
  <c r="AD14" i="18"/>
  <c r="AJ22" i="18"/>
  <c r="R14" i="18"/>
  <c r="X30" i="18"/>
  <c r="L30" i="18"/>
  <c r="AM36" i="1" l="1"/>
  <c r="AL36" i="1" s="1"/>
  <c r="AN36" i="1" s="1"/>
  <c r="AJ14" i="1"/>
  <c r="AK43" i="1"/>
  <c r="AJ43" i="1"/>
  <c r="AK25" i="1"/>
  <c r="AJ25" i="1"/>
  <c r="AK29" i="1"/>
  <c r="AJ29" i="1"/>
  <c r="AJ39" i="1"/>
  <c r="AK39" i="1"/>
  <c r="AL12" i="1"/>
  <c r="AM13" i="1"/>
  <c r="AH6" i="19"/>
  <c r="AB46" i="19"/>
  <c r="AH16" i="19"/>
  <c r="AH36" i="19"/>
  <c r="AH26" i="19"/>
  <c r="J36" i="19"/>
  <c r="V26" i="19"/>
  <c r="P26" i="19"/>
  <c r="P36" i="19"/>
  <c r="J6" i="19"/>
  <c r="P46" i="19"/>
  <c r="AB6" i="19"/>
  <c r="P16" i="19"/>
  <c r="V36" i="19"/>
  <c r="J46" i="19"/>
  <c r="P6" i="19"/>
  <c r="J26" i="19"/>
  <c r="J16" i="19"/>
  <c r="V6" i="19"/>
  <c r="AB16" i="19"/>
  <c r="V46" i="19"/>
  <c r="AH46" i="19"/>
  <c r="AB36" i="19"/>
  <c r="AN7" i="1"/>
  <c r="V16" i="19"/>
  <c r="AB26" i="19"/>
  <c r="AM42" i="1"/>
  <c r="AL41" i="1"/>
  <c r="AN41" i="1" s="1"/>
  <c r="AL17" i="1"/>
  <c r="AM18" i="1"/>
  <c r="AL10" i="1"/>
  <c r="AM11" i="1"/>
  <c r="AL11" i="1" s="1"/>
  <c r="AL20" i="1"/>
  <c r="AM21" i="1"/>
  <c r="AL21" i="1" s="1"/>
  <c r="AL30" i="1"/>
  <c r="AN30" i="1" s="1"/>
  <c r="AM31" i="1"/>
  <c r="AL26" i="1"/>
  <c r="AM27" i="1"/>
  <c r="AL15" i="1"/>
  <c r="AM16" i="1"/>
  <c r="AL16" i="1" s="1"/>
  <c r="AL34" i="1"/>
  <c r="AN34" i="1" s="1"/>
  <c r="AM35" i="1"/>
  <c r="AL35" i="1" s="1"/>
  <c r="AN35" i="1" s="1"/>
  <c r="AM9" i="1"/>
  <c r="AL9" i="1" s="1"/>
  <c r="AL8" i="1"/>
  <c r="AL22" i="1"/>
  <c r="AM23" i="1"/>
  <c r="AM37" i="1" l="1"/>
  <c r="AM38" i="1" s="1"/>
  <c r="AL23" i="1"/>
  <c r="AM24" i="1"/>
  <c r="AH13" i="19"/>
  <c r="AB23" i="19"/>
  <c r="J33" i="19"/>
  <c r="J23" i="19"/>
  <c r="V23" i="19"/>
  <c r="P13" i="19"/>
  <c r="AB53" i="19"/>
  <c r="P23" i="19"/>
  <c r="AH43" i="19"/>
  <c r="J13" i="19"/>
  <c r="AN22" i="1"/>
  <c r="V33" i="19"/>
  <c r="AB13" i="19"/>
  <c r="P33" i="19"/>
  <c r="AH53" i="19"/>
  <c r="AH23" i="19"/>
  <c r="AB33" i="19"/>
  <c r="V13" i="19"/>
  <c r="AH33" i="19"/>
  <c r="AB43" i="19"/>
  <c r="P43" i="19"/>
  <c r="J43" i="19"/>
  <c r="J53" i="19"/>
  <c r="P53" i="19"/>
  <c r="V43" i="19"/>
  <c r="V53" i="19"/>
  <c r="P28" i="19"/>
  <c r="AH18" i="19"/>
  <c r="V18" i="19"/>
  <c r="AB28" i="19"/>
  <c r="P18" i="19"/>
  <c r="AH38" i="19"/>
  <c r="AH8" i="19"/>
  <c r="J38" i="19"/>
  <c r="J48" i="19"/>
  <c r="AB38" i="19"/>
  <c r="P8" i="19"/>
  <c r="V48" i="19"/>
  <c r="V28" i="19"/>
  <c r="AB8" i="19"/>
  <c r="P38" i="19"/>
  <c r="P48" i="19"/>
  <c r="V38" i="19"/>
  <c r="AH28" i="19"/>
  <c r="AB18" i="19"/>
  <c r="AN10" i="1"/>
  <c r="J18" i="19"/>
  <c r="J8" i="19"/>
  <c r="V8" i="19"/>
  <c r="AH48" i="19"/>
  <c r="J28" i="19"/>
  <c r="AB48" i="19"/>
  <c r="AB37" i="19"/>
  <c r="AH17" i="19"/>
  <c r="P47" i="19"/>
  <c r="J37" i="19"/>
  <c r="AN8" i="1"/>
  <c r="V37" i="19"/>
  <c r="AB7" i="19"/>
  <c r="AH47" i="19"/>
  <c r="P27" i="19"/>
  <c r="V17" i="19"/>
  <c r="J7" i="19"/>
  <c r="AH27" i="19"/>
  <c r="AH37" i="19"/>
  <c r="J47" i="19"/>
  <c r="AB47" i="19"/>
  <c r="J27" i="19"/>
  <c r="J17" i="19"/>
  <c r="P37" i="19"/>
  <c r="V47" i="19"/>
  <c r="P7" i="19"/>
  <c r="AB17" i="19"/>
  <c r="AH7" i="19"/>
  <c r="AB27" i="19"/>
  <c r="V27" i="19"/>
  <c r="V7" i="19"/>
  <c r="P17" i="19"/>
  <c r="AL27" i="1"/>
  <c r="AM28" i="1"/>
  <c r="AL18" i="1"/>
  <c r="AM32" i="1"/>
  <c r="AL32" i="1" s="1"/>
  <c r="AN32" i="1" s="1"/>
  <c r="AL31" i="1"/>
  <c r="AN31" i="1" s="1"/>
  <c r="AN15" i="1"/>
  <c r="V10" i="19"/>
  <c r="AH50" i="19"/>
  <c r="AH40" i="19"/>
  <c r="V30" i="19"/>
  <c r="J10" i="19"/>
  <c r="AB30" i="19"/>
  <c r="AB10" i="19"/>
  <c r="AB50" i="19"/>
  <c r="AB20" i="19"/>
  <c r="J50" i="19"/>
  <c r="V40" i="19"/>
  <c r="P10" i="19"/>
  <c r="P40" i="19"/>
  <c r="V50" i="19"/>
  <c r="V20" i="19"/>
  <c r="J40" i="19"/>
  <c r="J30" i="19"/>
  <c r="AH10" i="19"/>
  <c r="P50" i="19"/>
  <c r="J20" i="19"/>
  <c r="P20" i="19"/>
  <c r="AH20" i="19"/>
  <c r="AH30" i="19"/>
  <c r="AB40" i="19"/>
  <c r="P30" i="19"/>
  <c r="Q27" i="19"/>
  <c r="AC27" i="19"/>
  <c r="K7" i="19"/>
  <c r="Q47" i="19"/>
  <c r="AI27" i="19"/>
  <c r="W17" i="19"/>
  <c r="AC47" i="19"/>
  <c r="K27" i="19"/>
  <c r="Q17" i="19"/>
  <c r="AC7" i="19"/>
  <c r="AI37" i="19"/>
  <c r="AI47" i="19"/>
  <c r="K17" i="19"/>
  <c r="AI7" i="19"/>
  <c r="W47" i="19"/>
  <c r="Q37" i="19"/>
  <c r="AC37" i="19"/>
  <c r="K47" i="19"/>
  <c r="W37" i="19"/>
  <c r="AC17" i="19"/>
  <c r="AN9" i="1"/>
  <c r="W27" i="19"/>
  <c r="W7" i="19"/>
  <c r="K37" i="19"/>
  <c r="AI17" i="19"/>
  <c r="Q7" i="19"/>
  <c r="AH54" i="19"/>
  <c r="J14" i="19"/>
  <c r="AH24" i="19"/>
  <c r="J44" i="19"/>
  <c r="V54" i="19"/>
  <c r="V24" i="19"/>
  <c r="AN26" i="1"/>
  <c r="P24" i="19"/>
  <c r="P34" i="19"/>
  <c r="AH14" i="19"/>
  <c r="AH44" i="19"/>
  <c r="P14" i="19"/>
  <c r="AB34" i="19"/>
  <c r="V44" i="19"/>
  <c r="AB24" i="19"/>
  <c r="J34" i="19"/>
  <c r="J24" i="19"/>
  <c r="J54" i="19"/>
  <c r="P44" i="19"/>
  <c r="V14" i="19"/>
  <c r="V34" i="19"/>
  <c r="AB44" i="19"/>
  <c r="AH34" i="19"/>
  <c r="AB54" i="19"/>
  <c r="AB14" i="19"/>
  <c r="P54" i="19"/>
  <c r="J31" i="19"/>
  <c r="AH21" i="19"/>
  <c r="V51" i="19"/>
  <c r="AB51" i="19"/>
  <c r="AB31" i="19"/>
  <c r="AB11" i="19"/>
  <c r="V41" i="19"/>
  <c r="AB41" i="19"/>
  <c r="AH51" i="19"/>
  <c r="AB21" i="19"/>
  <c r="AH31" i="19"/>
  <c r="P51" i="19"/>
  <c r="V31" i="19"/>
  <c r="P31" i="19"/>
  <c r="V21" i="19"/>
  <c r="J11" i="19"/>
  <c r="AH41" i="19"/>
  <c r="P11" i="19"/>
  <c r="J21" i="19"/>
  <c r="P21" i="19"/>
  <c r="V11" i="19"/>
  <c r="AH11" i="19"/>
  <c r="J51" i="19"/>
  <c r="P41" i="19"/>
  <c r="J41" i="19"/>
  <c r="AN17" i="1"/>
  <c r="AL42" i="1"/>
  <c r="AN42" i="1" s="1"/>
  <c r="AM43" i="1"/>
  <c r="AL43" i="1" s="1"/>
  <c r="AN43" i="1" s="1"/>
  <c r="AN20" i="1"/>
  <c r="AH32" i="19"/>
  <c r="J42" i="19"/>
  <c r="AB52" i="19"/>
  <c r="V32" i="19"/>
  <c r="AB32" i="19"/>
  <c r="P32" i="19"/>
  <c r="V12" i="19"/>
  <c r="P52" i="19"/>
  <c r="AH52" i="19"/>
  <c r="V22" i="19"/>
  <c r="AH42" i="19"/>
  <c r="P22" i="19"/>
  <c r="J12" i="19"/>
  <c r="P42" i="19"/>
  <c r="AB22" i="19"/>
  <c r="J32" i="19"/>
  <c r="AB42" i="19"/>
  <c r="J52" i="19"/>
  <c r="J22" i="19"/>
  <c r="V52" i="19"/>
  <c r="AB12" i="19"/>
  <c r="AH12" i="19"/>
  <c r="P12" i="19"/>
  <c r="V42" i="19"/>
  <c r="AH22" i="19"/>
  <c r="K20" i="19"/>
  <c r="K40" i="19"/>
  <c r="K50" i="19"/>
  <c r="AI20" i="19"/>
  <c r="Q40" i="19"/>
  <c r="AC40" i="19"/>
  <c r="Q50" i="19"/>
  <c r="AI50" i="19"/>
  <c r="Q30" i="19"/>
  <c r="AI40" i="19"/>
  <c r="W20" i="19"/>
  <c r="W40" i="19"/>
  <c r="AC30" i="19"/>
  <c r="AI10" i="19"/>
  <c r="Q20" i="19"/>
  <c r="AN16" i="1"/>
  <c r="W30" i="19"/>
  <c r="W50" i="19"/>
  <c r="AC20" i="19"/>
  <c r="AC10" i="19"/>
  <c r="Q10" i="19"/>
  <c r="W10" i="19"/>
  <c r="AC50" i="19"/>
  <c r="K30" i="19"/>
  <c r="K10" i="19"/>
  <c r="AI30" i="19"/>
  <c r="W18" i="19"/>
  <c r="K38" i="19"/>
  <c r="AI38" i="19"/>
  <c r="W28" i="19"/>
  <c r="Q48" i="19"/>
  <c r="W8" i="19"/>
  <c r="AN11" i="1"/>
  <c r="Q8" i="19"/>
  <c r="AC48" i="19"/>
  <c r="K48" i="19"/>
  <c r="K28" i="19"/>
  <c r="K18" i="19"/>
  <c r="AC38" i="19"/>
  <c r="AI8" i="19"/>
  <c r="AI18" i="19"/>
  <c r="W48" i="19"/>
  <c r="Q18" i="19"/>
  <c r="W38" i="19"/>
  <c r="AC28" i="19"/>
  <c r="K8" i="19"/>
  <c r="Q38" i="19"/>
  <c r="AI48" i="19"/>
  <c r="Q28" i="19"/>
  <c r="AI28" i="19"/>
  <c r="AC8" i="19"/>
  <c r="AC18" i="19"/>
  <c r="AL13" i="1"/>
  <c r="AM14" i="1"/>
  <c r="AL14" i="1" s="1"/>
  <c r="AI12" i="19"/>
  <c r="K52" i="19"/>
  <c r="K22" i="19"/>
  <c r="W32" i="19"/>
  <c r="AC12" i="19"/>
  <c r="AI52" i="19"/>
  <c r="AI32" i="19"/>
  <c r="K32" i="19"/>
  <c r="K42" i="19"/>
  <c r="Q12" i="19"/>
  <c r="Q32" i="19"/>
  <c r="AC32" i="19"/>
  <c r="W12" i="19"/>
  <c r="AC22" i="19"/>
  <c r="W22" i="19"/>
  <c r="AI42" i="19"/>
  <c r="Q22" i="19"/>
  <c r="Q42" i="19"/>
  <c r="AN21" i="1"/>
  <c r="AC52" i="19"/>
  <c r="W42" i="19"/>
  <c r="AC42" i="19"/>
  <c r="Q52" i="19"/>
  <c r="K12" i="19"/>
  <c r="AI22" i="19"/>
  <c r="W52" i="19"/>
  <c r="AN12" i="1"/>
  <c r="J19" i="19"/>
  <c r="V9" i="19"/>
  <c r="P49" i="19"/>
  <c r="AB19" i="19"/>
  <c r="V19" i="19"/>
  <c r="J39" i="19"/>
  <c r="P29" i="19"/>
  <c r="J9" i="19"/>
  <c r="J49" i="19"/>
  <c r="V49" i="19"/>
  <c r="AH29" i="19"/>
  <c r="V29" i="19"/>
  <c r="P39" i="19"/>
  <c r="AB49" i="19"/>
  <c r="AB9" i="19"/>
  <c r="AB39" i="19"/>
  <c r="P9" i="19"/>
  <c r="AH19" i="19"/>
  <c r="AH9" i="19"/>
  <c r="P19" i="19"/>
  <c r="AH39" i="19"/>
  <c r="AH49" i="19"/>
  <c r="AB29" i="19"/>
  <c r="V39" i="19"/>
  <c r="J29" i="19"/>
  <c r="AL37" i="1" l="1"/>
  <c r="AN37" i="1" s="1"/>
  <c r="AD49" i="19"/>
  <c r="L39" i="19"/>
  <c r="R19" i="19"/>
  <c r="X9" i="19"/>
  <c r="AJ29" i="19"/>
  <c r="R29" i="19"/>
  <c r="X39" i="19"/>
  <c r="AD19" i="19"/>
  <c r="L9" i="19"/>
  <c r="AD29" i="19"/>
  <c r="AJ39" i="19"/>
  <c r="X29" i="19"/>
  <c r="L49" i="19"/>
  <c r="R49" i="19"/>
  <c r="X19" i="19"/>
  <c r="R39" i="19"/>
  <c r="AJ19" i="19"/>
  <c r="AD39" i="19"/>
  <c r="AN14" i="1"/>
  <c r="L29" i="19"/>
  <c r="AJ9" i="19"/>
  <c r="L19" i="19"/>
  <c r="AJ49" i="19"/>
  <c r="R9" i="19"/>
  <c r="X49" i="19"/>
  <c r="AD9" i="19"/>
  <c r="AC41" i="19"/>
  <c r="Q51" i="19"/>
  <c r="AI11" i="19"/>
  <c r="Q21" i="19"/>
  <c r="K41" i="19"/>
  <c r="W21" i="19"/>
  <c r="AC51" i="19"/>
  <c r="Q11" i="19"/>
  <c r="K11" i="19"/>
  <c r="K51" i="19"/>
  <c r="AI21" i="19"/>
  <c r="AC31" i="19"/>
  <c r="AN18" i="1"/>
  <c r="Q31" i="19"/>
  <c r="W51" i="19"/>
  <c r="W41" i="19"/>
  <c r="AI31" i="19"/>
  <c r="K21" i="19"/>
  <c r="K31" i="19"/>
  <c r="AI51" i="19"/>
  <c r="AC21" i="19"/>
  <c r="W31" i="19"/>
  <c r="W11" i="19"/>
  <c r="AI41" i="19"/>
  <c r="Q41" i="19"/>
  <c r="AC11" i="19"/>
  <c r="AM19" i="1"/>
  <c r="AL19" i="1" s="1"/>
  <c r="AL38" i="1"/>
  <c r="AN38" i="1" s="1"/>
  <c r="AM39" i="1"/>
  <c r="AL39" i="1" s="1"/>
  <c r="AN39" i="1" s="1"/>
  <c r="AM29" i="1"/>
  <c r="AL29" i="1" s="1"/>
  <c r="AL28" i="1"/>
  <c r="AL24" i="1"/>
  <c r="AM25" i="1"/>
  <c r="AL25" i="1" s="1"/>
  <c r="AI19" i="19"/>
  <c r="Q29" i="19"/>
  <c r="AI9" i="19"/>
  <c r="K19" i="19"/>
  <c r="W29" i="19"/>
  <c r="K29" i="19"/>
  <c r="AI39" i="19"/>
  <c r="W49" i="19"/>
  <c r="Q19" i="19"/>
  <c r="Q9" i="19"/>
  <c r="Q39" i="19"/>
  <c r="AC49" i="19"/>
  <c r="Q49" i="19"/>
  <c r="K39" i="19"/>
  <c r="AC39" i="19"/>
  <c r="K49" i="19"/>
  <c r="AN13" i="1"/>
  <c r="W19" i="19"/>
  <c r="AC9" i="19"/>
  <c r="AC29" i="19"/>
  <c r="K9" i="19"/>
  <c r="AI29" i="19"/>
  <c r="W39" i="19"/>
  <c r="AC19" i="19"/>
  <c r="AI49" i="19"/>
  <c r="W9" i="19"/>
  <c r="W34" i="19"/>
  <c r="Q34" i="19"/>
  <c r="K34" i="19"/>
  <c r="Q14" i="19"/>
  <c r="AI44" i="19"/>
  <c r="Q44" i="19"/>
  <c r="K54" i="19"/>
  <c r="AC14" i="19"/>
  <c r="AI54" i="19"/>
  <c r="W44" i="19"/>
  <c r="W54" i="19"/>
  <c r="W14" i="19"/>
  <c r="Q54" i="19"/>
  <c r="W24" i="19"/>
  <c r="AC24" i="19"/>
  <c r="AI24" i="19"/>
  <c r="K14" i="19"/>
  <c r="K44" i="19"/>
  <c r="Q24" i="19"/>
  <c r="AC44" i="19"/>
  <c r="AN27" i="1"/>
  <c r="K24" i="19"/>
  <c r="AC54" i="19"/>
  <c r="AC34" i="19"/>
  <c r="AI34" i="19"/>
  <c r="AI14" i="19"/>
  <c r="AI13" i="19"/>
  <c r="AI43" i="19"/>
  <c r="AI33" i="19"/>
  <c r="AC33" i="19"/>
  <c r="AC53" i="19"/>
  <c r="AN23" i="1"/>
  <c r="AC13" i="19"/>
  <c r="Q33" i="19"/>
  <c r="K13" i="19"/>
  <c r="K33" i="19"/>
  <c r="W23" i="19"/>
  <c r="W53" i="19"/>
  <c r="W13" i="19"/>
  <c r="AI53" i="19"/>
  <c r="AI23" i="19"/>
  <c r="Q13" i="19"/>
  <c r="K23" i="19"/>
  <c r="AC43" i="19"/>
  <c r="W33" i="19"/>
  <c r="Q43" i="19"/>
  <c r="Q53" i="19"/>
  <c r="K53" i="19"/>
  <c r="W43" i="19"/>
  <c r="Q23" i="19"/>
  <c r="K43" i="19"/>
  <c r="AC23" i="19"/>
  <c r="S21" i="19" l="1"/>
  <c r="Y51" i="19"/>
  <c r="AK31" i="19"/>
  <c r="Y31" i="19"/>
  <c r="AE11" i="19"/>
  <c r="AK21" i="19"/>
  <c r="AE21" i="19"/>
  <c r="S11" i="19"/>
  <c r="Y41" i="19"/>
  <c r="AE41" i="19"/>
  <c r="M31" i="19"/>
  <c r="AN19" i="1"/>
  <c r="Y11" i="19"/>
  <c r="S41" i="19"/>
  <c r="S51" i="19"/>
  <c r="M11" i="19"/>
  <c r="M21" i="19"/>
  <c r="S31" i="19"/>
  <c r="AK11" i="19"/>
  <c r="AK41" i="19"/>
  <c r="AE51" i="19"/>
  <c r="M41" i="19"/>
  <c r="AE31" i="19"/>
  <c r="AK51" i="19"/>
  <c r="M51" i="19"/>
  <c r="Y21" i="19"/>
  <c r="X41" i="19"/>
  <c r="AD41" i="19"/>
  <c r="L41" i="19"/>
  <c r="AD51" i="19"/>
  <c r="AJ11" i="19"/>
  <c r="L21" i="19"/>
  <c r="X21" i="19"/>
  <c r="L31" i="19"/>
  <c r="AJ21" i="19"/>
  <c r="AJ31" i="19"/>
  <c r="AD11" i="19"/>
  <c r="X11" i="19"/>
  <c r="AD31" i="19"/>
  <c r="R51" i="19"/>
  <c r="R11" i="19"/>
  <c r="AD21" i="19"/>
  <c r="R31" i="19"/>
  <c r="L51" i="19"/>
  <c r="X31" i="19"/>
  <c r="X51" i="19"/>
  <c r="R21" i="19"/>
  <c r="AJ41" i="19"/>
  <c r="AJ51" i="19"/>
  <c r="L11" i="19"/>
  <c r="R41" i="19"/>
  <c r="Y33" i="19"/>
  <c r="AE13" i="19"/>
  <c r="S53" i="19"/>
  <c r="M23" i="19"/>
  <c r="M43" i="19"/>
  <c r="S13" i="19"/>
  <c r="AE53" i="19"/>
  <c r="S23" i="19"/>
  <c r="AE23" i="19"/>
  <c r="Y43" i="19"/>
  <c r="Y23" i="19"/>
  <c r="Y53" i="19"/>
  <c r="AE43" i="19"/>
  <c r="AK33" i="19"/>
  <c r="S33" i="19"/>
  <c r="S43" i="19"/>
  <c r="AK23" i="19"/>
  <c r="M13" i="19"/>
  <c r="AE33" i="19"/>
  <c r="Y13" i="19"/>
  <c r="AN25" i="1"/>
  <c r="M53" i="19"/>
  <c r="AK53" i="19"/>
  <c r="AK43" i="19"/>
  <c r="M33" i="19"/>
  <c r="AK13" i="19"/>
  <c r="AJ53" i="19"/>
  <c r="L53" i="19"/>
  <c r="X33" i="19"/>
  <c r="R33" i="19"/>
  <c r="X23" i="19"/>
  <c r="AD23" i="19"/>
  <c r="X43" i="19"/>
  <c r="L33" i="19"/>
  <c r="AD33" i="19"/>
  <c r="AJ23" i="19"/>
  <c r="AD13" i="19"/>
  <c r="R43" i="19"/>
  <c r="L43" i="19"/>
  <c r="X53" i="19"/>
  <c r="L23" i="19"/>
  <c r="L13" i="19"/>
  <c r="AJ33" i="19"/>
  <c r="AN24" i="1"/>
  <c r="R23" i="19"/>
  <c r="AD53" i="19"/>
  <c r="AD43" i="19"/>
  <c r="R53" i="19"/>
  <c r="R13" i="19"/>
  <c r="AJ13" i="19"/>
  <c r="X13" i="19"/>
  <c r="AJ43" i="19"/>
  <c r="R54" i="19"/>
  <c r="AJ24" i="19"/>
  <c r="X24" i="19"/>
  <c r="R34" i="19"/>
  <c r="R14" i="19"/>
  <c r="L14" i="19"/>
  <c r="AJ34" i="19"/>
  <c r="X14" i="19"/>
  <c r="AD14" i="19"/>
  <c r="X44" i="19"/>
  <c r="AD54" i="19"/>
  <c r="X54" i="19"/>
  <c r="AJ14" i="19"/>
  <c r="AN28" i="1"/>
  <c r="X34" i="19"/>
  <c r="AD24" i="19"/>
  <c r="L34" i="19"/>
  <c r="R44" i="19"/>
  <c r="AD44" i="19"/>
  <c r="L44" i="19"/>
  <c r="AD34" i="19"/>
  <c r="L54" i="19"/>
  <c r="R24" i="19"/>
  <c r="AJ54" i="19"/>
  <c r="L24" i="19"/>
  <c r="AJ44" i="19"/>
  <c r="AE14" i="19"/>
  <c r="AE54" i="19"/>
  <c r="AE34" i="19"/>
  <c r="S14" i="19"/>
  <c r="M34" i="19"/>
  <c r="AE24" i="19"/>
  <c r="AN29" i="1"/>
  <c r="Y24" i="19"/>
  <c r="Y54" i="19"/>
  <c r="M54" i="19"/>
  <c r="S44" i="19"/>
  <c r="S34" i="19"/>
  <c r="AK54" i="19"/>
  <c r="AK44" i="19"/>
  <c r="M44" i="19"/>
  <c r="Y44" i="19"/>
  <c r="AK24" i="19"/>
  <c r="M24" i="19"/>
  <c r="Y34" i="19"/>
  <c r="AE44" i="19"/>
  <c r="Y14" i="19"/>
  <c r="M14" i="19"/>
  <c r="AK14" i="19"/>
  <c r="AK34" i="19"/>
  <c r="S24" i="19"/>
  <c r="S54" i="19"/>
  <c r="B223" i="13"/>
  <c r="B222" i="13"/>
</calcChain>
</file>

<file path=xl/comments1.xml><?xml version="1.0" encoding="utf-8"?>
<comments xmlns="http://schemas.openxmlformats.org/spreadsheetml/2006/main">
  <authors>
    <author>Willy Alexander Vijalba Caballero</author>
    <author>Soporte APC-Colombia</author>
  </authors>
  <commentList>
    <comment ref="N6" authorId="0" shapeId="0">
      <text>
        <r>
          <rPr>
            <b/>
            <sz val="9"/>
            <color indexed="81"/>
            <rFont val="Tahoma"/>
            <family val="2"/>
          </rPr>
          <t>Willy Alexander Vijalba Caballero:</t>
        </r>
        <r>
          <rPr>
            <sz val="9"/>
            <color indexed="81"/>
            <rFont val="Tahoma"/>
            <family val="2"/>
          </rPr>
          <t xml:space="preserve">
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t>
        </r>
      </text>
    </comment>
    <comment ref="AH6" authorId="0" shapeId="0">
      <text>
        <r>
          <rPr>
            <b/>
            <sz val="9"/>
            <color indexed="81"/>
            <rFont val="Tahoma"/>
            <family val="2"/>
          </rPr>
          <t>Willy Alexander Vijalba Caballero:</t>
        </r>
        <r>
          <rPr>
            <sz val="9"/>
            <color indexed="81"/>
            <rFont val="Tahoma"/>
            <family val="2"/>
          </rPr>
          <t xml:space="preserve">
Periodos en los que se realiza el contro:
diario
Semanal
1 Vez al Mes
Mensual
etc</t>
        </r>
      </text>
    </comment>
    <comment ref="AI6" authorId="0" shapeId="0">
      <text>
        <r>
          <rPr>
            <b/>
            <sz val="9"/>
            <color indexed="81"/>
            <rFont val="Tahoma"/>
            <family val="2"/>
          </rPr>
          <t>Willy Alexander Vijalba Caballero:</t>
        </r>
        <r>
          <rPr>
            <sz val="9"/>
            <color indexed="81"/>
            <rFont val="Tahoma"/>
            <family val="2"/>
          </rPr>
          <t xml:space="preserve">
Eficacia: Ïndice de cumplimiento de actividades = (# de actividades cumplidas / # de actividades programadas)*100
Efectividad: Efectividad del plan de manejo de riesgos = (# de modificaciones no autorizadas)</t>
        </r>
      </text>
    </comment>
    <comment ref="AS15" authorId="1" shapeId="0">
      <text>
        <r>
          <rPr>
            <b/>
            <sz val="9"/>
            <color indexed="81"/>
            <rFont val="Tahoma"/>
            <family val="2"/>
          </rPr>
          <t>Soporte APC-Colombia:</t>
        </r>
        <r>
          <rPr>
            <sz val="9"/>
            <color indexed="81"/>
            <rFont val="Tahoma"/>
            <family val="2"/>
          </rPr>
          <t xml:space="preserve">
A.14.1.1 </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<sst xmlns="http://schemas.openxmlformats.org/spreadsheetml/2006/main" count="1778" uniqueCount="601">
  <si>
    <t>Mapa de Riesgos</t>
  </si>
  <si>
    <t>Matriz Mapa de Riesgos</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</si>
  <si>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t>
  </si>
  <si>
    <t>Teniendo en cuenta lo anterior y dada la necesidad de las entidades frente a la estructuración de los mapas de riesgos, como herramienta fundamental frente a la gestión del riesgo, el presente formato desarrolla un esquema completo acorde con los contenidos metodológicos de la Guía para la Administración del Riesgo y el diseño de controles V5. El formato cuenta con celdas parametrizadas y permite contar con los respectivos mapas de calor para riesgo inherente y riesgo residual.</t>
  </si>
  <si>
    <t>Orientaciones Generales</t>
  </si>
  <si>
    <t>Antes de iniciar con el diligenciamiento de la información en la matriz, se requiere haber avanzado en el análisis del proceso, su objetivo, alcance, actividades clave, considere los lineamientos establecidos en el Paso 2: identificación del riesgo, donde se explica ampliamente las bases para adelanter este análisis.
Así mismo, considere en el Paso 3: valoración del riesgo los lineamientos para definir el No. de veces que se hace la actividad con la cual se relaciona el riesgo y su impacto en términos económicos o reputacionales. En este mismo paso se analizan los controles que deben responder a los atributos de eficiencia e informativos.</t>
  </si>
  <si>
    <r>
      <rPr>
        <b/>
        <sz val="12"/>
        <rFont val="Arial"/>
        <family val="2"/>
      </rPr>
      <t>NOTA:</t>
    </r>
    <r>
      <rPr>
        <sz val="12"/>
        <rFont val="Arial"/>
        <family val="2"/>
      </rPr>
      <t xml:space="preserve"> Si lo considera pertinente, es posible agregar hojas de trabajo adicionales al presente formato que permitan incluir la traza de estos análisis.</t>
    </r>
  </si>
  <si>
    <t>El archivo contiene las siguientes hojas</t>
  </si>
  <si>
    <t>Hoja Instructivo, Mapas, Preguntas Final de Gestión, Corrupción y Seguridad de la Información: Encontrará la totalidad de la estructura para la identificación y valoración de los riesgos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</si>
  <si>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</si>
  <si>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</si>
  <si>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</si>
  <si>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</si>
  <si>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</si>
  <si>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</si>
  <si>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</si>
  <si>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</si>
  <si>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</si>
  <si>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</si>
  <si>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</si>
  <si>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</si>
  <si>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</si>
  <si>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</si>
  <si>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</si>
  <si>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</si>
  <si>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</si>
  <si>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t>Consolida o resume los análisis sobre impacto + causa inmediata + causa raíz, permitiendo contar con una redacción clara y concreta del riesgo indentificado. Tenga en cuenta la estructura de alto nivel establecida en al guía, inicia con POSIBILIDAD DE + Impacto para la entidad (Qué) + Causa Inmediata (Cómo) + Causa Raíz (Por qué)</t>
  </si>
  <si>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</si>
  <si>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</si>
  <si>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</si>
  <si>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</si>
  <si>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</si>
  <si>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</si>
  <si>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</si>
  <si>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</si>
  <si>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</si>
  <si>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Recuerde que el control se define como la medida que permite reducir o mitigar un riesgo. Defina el control (es) que atacan la causa raíz del riesgo, considere la estructura explicada en la guía: Responsable de ejecutar el control + Acción + Complemento</t>
  </si>
  <si>
    <t>Afectación</t>
  </si>
  <si>
    <t>Esta casilla no se diligencia, depende de la selección en la columna R.</t>
  </si>
  <si>
    <t>ATRIBUTOS EFICIENCIA
Tipo</t>
  </si>
  <si>
    <t>Utilice la lista de despligue que se encuentra parametrizada, le aparecerán las opciones: i)Preventivo, ii)Detectivo, iii)Correctivo.</t>
  </si>
  <si>
    <t>ATRIBUTOS EFICIENCIA
Implementación</t>
  </si>
  <si>
    <t>Utilice la lista de despligue que se encuentra parametrizada, le aparecerán las opciones: i)Automático, ii)Manual.</t>
  </si>
  <si>
    <t>ATRIBUTOS EFICIENCIA
Calificación</t>
  </si>
  <si>
    <t xml:space="preserve">La matriz automáticamente hará el cálculo para el control analizado (Columna T) </t>
  </si>
  <si>
    <t>ATRIBUTOS INFORMATIVOS
Documentación</t>
  </si>
  <si>
    <t>Utilice la lista de despligue que se encuentra parametrizada, le aparecerán las opciones: i)Documentado, ii)Sin documentar.</t>
  </si>
  <si>
    <t>ATRIBUTOS INFORMATIVOS
Frecuencia</t>
  </si>
  <si>
    <t>Utilice la lista de despligue que se encuentra parametrizada, le aparecerán las opciones: i)Continua, ii)Aleatoria.</t>
  </si>
  <si>
    <t>ATRIBUTOS INFORMATIVOS
Registro</t>
  </si>
  <si>
    <t>Utilice la lista de despligue que se encuentra parametrizada, le aparecerán las opciones: i)Con Registro, ii) Sin Registro.</t>
  </si>
  <si>
    <t>Evaluación del Nivel de Riesgo - Nivel de Riesgo Residual</t>
  </si>
  <si>
    <t>La matriz automáticamente hará el cálculo, acorde con el control o controles definidos con sus atributos analizados, lo que permitirá establecer el nivel de riesgo inherente (Columnas Y- Z- AA -AB- AC).</t>
  </si>
  <si>
    <t>Tratamiento</t>
  </si>
  <si>
    <t>Utilice la lista de despligue que se encuentra parametrizada, le aparecerán las opciones: i)Aceptar, ii)Evitar, iii)Reducir (compartir), iv)Reducir (mitigar).</t>
  </si>
  <si>
    <t>Estado</t>
  </si>
  <si>
    <t>Utilice la lista de despligue que se encuentra parametrizada, le aparecerán las opciones: i)Finalizado, ii)En curso, la selección en este caso dependerá de las acciones del plan que se hayan establecido en cada caso.</t>
  </si>
  <si>
    <t xml:space="preserve">Consideraciones </t>
  </si>
  <si>
    <t xml:space="preserve"> -  Hoja Matriz de Calor Inherente:  En esta hoja, en la medida en que ese diligencia el Mapa Final, se verán reflejados los riesgos en su zona correspondiente. Esta hoja no se diligencia se genera de manera automática.</t>
  </si>
  <si>
    <t xml:space="preserve"> -  Hoja Matriz de Calor Residual: En esta hoja, en la medida en que ese diligencia el Mapa Final, se verán reflejados los riesgos en su zona correspondiente. Esta hoja no se diligencia se genera de manera automática.</t>
  </si>
  <si>
    <t xml:space="preserve"> -  Hoja Tabla de probabilidad: Tabla referente para todos los cálculos (no se diligencia)</t>
  </si>
  <si>
    <t xml:space="preserve"> -  Hoja Tabla de Impacto: Tabla referente para todos los cálculos (no se diligencia)</t>
  </si>
  <si>
    <t xml:space="preserve"> -  Hoja Tabla de Valoración de Controles: Tabla referente para todos los cálculos (no se diligencia)</t>
  </si>
  <si>
    <t>Información tomada de las Guías para la administración del riesgo y el diseño de controles en entidades públicas, versiones No. 4 de octubre de 2018 y No. 5 de diciembre de 2020 de la Dirección de Gestión y Desempeño Institucional del Departamento Administrativo de la Función Pública</t>
  </si>
  <si>
    <t>Carrera 10 No. 97A-13, Piso 6, Torre A, Bogotá - Colombia   Conmutador (57 60 1) 601 24 24   www.apccolombia.gov.co</t>
  </si>
  <si>
    <t>Carrera 10 No. 97A-13, Piso 6, Torre A, Bogotá - Colombia   Conmutador (57 60 1) 601 24 24   www.apccolombia.gov.co
1/1</t>
  </si>
  <si>
    <t xml:space="preserve">1/1
</t>
  </si>
  <si>
    <t>Identificación del riesgo</t>
  </si>
  <si>
    <t>Análisis del riesgo inherente</t>
  </si>
  <si>
    <t>Evaluación del riesgo - Valoración de los controles</t>
  </si>
  <si>
    <t>Evaluación del riesgo - Nivel del riesgo residual</t>
  </si>
  <si>
    <t>Plan de Acción</t>
  </si>
  <si>
    <t xml:space="preserve">Referencia </t>
  </si>
  <si>
    <t>Descripción del Activo
Registrar el activo o activos de información del proceso, que en la columna AN (Nivel) del formato de activos de información, sea Alto o Muy Alto, ya que estos son denominados activos críticos y se les debe hacer el tratamiento de riesgos.</t>
  </si>
  <si>
    <t>Proceso 
Seleccionar el proceso al que pertenece el activo</t>
  </si>
  <si>
    <t>Causa Inmediata // Vulnerabilidades
Causa  principal  o básica, corresponde a las razones por la cuales se puede presentar  el riesgo, redacte de la forma más concreta posible.
O las vulnerabilidades a nivel se seguridad de la información</t>
  </si>
  <si>
    <t>Causa Raíz / / Amenaza
Causa  principal  o básica, corresponde a las razones por la cuales se puede presentar  el riesgo, redacte de la forma más concreta posible.
O Amenza a nivel de seguridad de la información</t>
  </si>
  <si>
    <t>Descripción del Riesgo
Tenga en cuenta la estructura de alto nivel establecida en al guía de  la Función Pública. Inicia con POSIBILIDAD DE + Impacto para la entidad (Qué) + Causa Inmediata (Cómo) + Causa Raíz (Por qué)</t>
  </si>
  <si>
    <t>Consecuencia</t>
  </si>
  <si>
    <t>Frecuencia con la cual se realiza la actividad</t>
  </si>
  <si>
    <t>Probabilidad Inherente</t>
  </si>
  <si>
    <t>%</t>
  </si>
  <si>
    <t>Criterios de impacto</t>
  </si>
  <si>
    <t>Impacto 
Inherente</t>
  </si>
  <si>
    <t>No. Control</t>
  </si>
  <si>
    <t>Atributos Tipo</t>
  </si>
  <si>
    <t>Atributos Probabilidad Residual</t>
  </si>
  <si>
    <t>Atributos Soporte</t>
  </si>
  <si>
    <t>Atributos Tiempo</t>
  </si>
  <si>
    <t>Atributos Indicador</t>
  </si>
  <si>
    <t>Probabilidad Residual Final</t>
  </si>
  <si>
    <t>Impacto Residual Final</t>
  </si>
  <si>
    <t>Zona de Riesgo Final</t>
  </si>
  <si>
    <t>Responsable</t>
  </si>
  <si>
    <t>Control General</t>
  </si>
  <si>
    <t>Objetivo de Control</t>
  </si>
  <si>
    <t>Controles</t>
  </si>
  <si>
    <t>Fecha Implementación</t>
  </si>
  <si>
    <t>Fecha Seguimiento</t>
  </si>
  <si>
    <t>Seguimiento</t>
  </si>
  <si>
    <t>Información- Manuales -Manual de imagen</t>
  </si>
  <si>
    <t>Gestión de Comunicaciones.</t>
  </si>
  <si>
    <t>Reputacional</t>
  </si>
  <si>
    <t>Acceso no autorizado
Borrado no autorizados</t>
  </si>
  <si>
    <t>Personas internas</t>
  </si>
  <si>
    <t>Usuarios, productos y practicas , organizacionales</t>
  </si>
  <si>
    <t>Ausencia de controles de protecciòn de la informaciòn</t>
  </si>
  <si>
    <t xml:space="preserve">Pérdida de la información, o imformación errada. </t>
  </si>
  <si>
    <t>La actividad que conlleva el riesgo se ejecuta de 3 a 24 veces por año</t>
  </si>
  <si>
    <t xml:space="preserve">     El riesgo afecta la imagen de la entidad con algunos usuarios de relevancia frente al logro de los objetivos</t>
  </si>
  <si>
    <t>Sensibilizaciones sobre temas relacionados en seguridad de la información y las comunicaciones</t>
  </si>
  <si>
    <t>Preventivo</t>
  </si>
  <si>
    <t>Manual</t>
  </si>
  <si>
    <t>Documentado</t>
  </si>
  <si>
    <t>Aleatoria</t>
  </si>
  <si>
    <t>Con Registro</t>
  </si>
  <si>
    <t>Actas</t>
  </si>
  <si>
    <t>Profesional Especializado / Asesora de Comunicaiones</t>
  </si>
  <si>
    <t>Anual</t>
  </si>
  <si>
    <t>Efectividad</t>
  </si>
  <si>
    <t>Reducir (mitigar)</t>
  </si>
  <si>
    <t>Capacitación al personal, a través de la socialización de la información, para buen uso y conocimientos de las póliticas de seguridad.</t>
  </si>
  <si>
    <t>Profesional Especializado / Asesora de Comunicaciones</t>
  </si>
  <si>
    <t>SEGURIDAD DE LOS RECURSOS HUMANOS</t>
  </si>
  <si>
    <t>Durante la ejecución del empleo</t>
  </si>
  <si>
    <t>Toma de conciencia educación y formación en la seguridad de la información</t>
  </si>
  <si>
    <t>En curso</t>
  </si>
  <si>
    <t>Información- Planes-Plan de Comunicaciones</t>
  </si>
  <si>
    <t>Acceso no autorizado
Borrado o cambios no autorizados</t>
  </si>
  <si>
    <t>Difundir información de la Agencia sin autorización o por canales no oficiales y/o personas  no auotrizadas</t>
  </si>
  <si>
    <t>La actividad que conlleva el riesgo se ejecuta de 24 a 500 veces por año</t>
  </si>
  <si>
    <t xml:space="preserve">     El riesgo afecta la imagen de la entidad a nivel nacional, con efecto publicitarios sostenible a nivel país</t>
  </si>
  <si>
    <t>Socialización al personal sobre la existencia del plan estrategico de comunicacione - PEC en canales internos.</t>
  </si>
  <si>
    <t>Acta</t>
  </si>
  <si>
    <t>N/A</t>
  </si>
  <si>
    <t>Oficialización del documento en Brújula y socialización a los colaboradores de la Agencia y ubicar  el archivo en la intranet solo para descarga</t>
  </si>
  <si>
    <t>ASPECTOS DE SEGURIDAD DE LA INFORMACION DE LA GESTIÓN DE CONTINUIDAD DE NEGOCIO.</t>
  </si>
  <si>
    <t>Continuidad de seguridad de la información</t>
  </si>
  <si>
    <t>Planificación de la continuidad de la seguridad de la información</t>
  </si>
  <si>
    <t>Documentos publicados en el sistema Brújula</t>
  </si>
  <si>
    <t>Informacion - no aplica: Matriz de seguimiento a la gestión de los certificados de utilidad común. (CUC).</t>
  </si>
  <si>
    <t>Identificación y Priorización de Cooperación Internacional</t>
  </si>
  <si>
    <t xml:space="preserve">Acceso de usuarios no autorizados
</t>
  </si>
  <si>
    <t>Acceso de usuarios no autorizados
Error de las personas con autorización al momento de registrar la información
Ataques externos a la información de la Agencia</t>
  </si>
  <si>
    <t>Compromiso de la información</t>
  </si>
  <si>
    <t>Pérdida de registros históricos que pueden ser consultados por entidades externas</t>
  </si>
  <si>
    <t>Validación periodica de la integridad y coherencia de la información registrada</t>
  </si>
  <si>
    <t>Sin Documentar</t>
  </si>
  <si>
    <t>Continua</t>
  </si>
  <si>
    <t>Correos con solicitud de revision y aclaración de información</t>
  </si>
  <si>
    <t>Profesional especializado</t>
  </si>
  <si>
    <t>Implementar controles de acceso a la información.</t>
  </si>
  <si>
    <t>Profesional especializado Demanda/ Profesional Especializado TICS</t>
  </si>
  <si>
    <t>CONTROL DE ACCESO</t>
  </si>
  <si>
    <t>Gestión de acceso de usuarios</t>
  </si>
  <si>
    <t>Gestión de derechos de acceso privilegiado</t>
  </si>
  <si>
    <t>Definición de permisos de modificación de la información registrada.</t>
  </si>
  <si>
    <t>Archivo con permisos</t>
  </si>
  <si>
    <t>Persona - No aplica
Módulo de Donaciones en Especie, en el cual se carga la información de las donaciones recibidas y tener a la mano su histórico y Módulo de Administración de Recursos, en el cual se registran los datos del donante y montos de los recursos otorgados al gobierno de Colombia con el fin de ejecutarlos según la voluntad del Donante (Cíclope).</t>
  </si>
  <si>
    <t>Administración de Recursos de Cooperación Internacional No rembolsable y Donaciones en Especie</t>
  </si>
  <si>
    <t>Mal uso del sistema de información en el aplicativo cíclope</t>
  </si>
  <si>
    <t>Personas interno</t>
  </si>
  <si>
    <t xml:space="preserve">Perdida de la información, inadecuada. </t>
  </si>
  <si>
    <t>Antes de guardar, el sistema le solicita verificar la información registrada.</t>
  </si>
  <si>
    <t>Automático</t>
  </si>
  <si>
    <t>Reportes.</t>
  </si>
  <si>
    <t>Grupo interno de Administracion de Recursos de cooperacion Internacional no Reembolsables y Donaciones en Especie</t>
  </si>
  <si>
    <t>Cada vez 
que se 
requiera</t>
  </si>
  <si>
    <t>Capacitación al personal en el buen uso de la herramienta.</t>
  </si>
  <si>
    <t>Profesional Especializado TICS</t>
  </si>
  <si>
    <t>Para el modulo de administración de recursos cualquier modificación debe ser revisada por la opciíon de control de cambios, aceptada por el Coordinador del Grupo.</t>
  </si>
  <si>
    <t>Detectivo</t>
  </si>
  <si>
    <t>Registro del versionamiento de las modificaciones.</t>
  </si>
  <si>
    <t>Validacion de entrada de datos de acuerdo a las reglas del negocio.</t>
  </si>
  <si>
    <t>Código fuente documentado.</t>
  </si>
  <si>
    <t>Software - Sistema  tecnológico diseñado con un enfoque de procesos para el seguimiento del Sistema de Gestión Integrado (Brujula).</t>
  </si>
  <si>
    <t>Gestión de Tecnologías de la Información</t>
  </si>
  <si>
    <t>Versiones desactualizadas</t>
  </si>
  <si>
    <t>Ataquetes de fuerza bruta</t>
  </si>
  <si>
    <t>Fallas Tecnologicas</t>
  </si>
  <si>
    <t>Pirata informático, intruso ilegal</t>
  </si>
  <si>
    <t>Actualización de parches de la versión actual y ajustes a la base de datos</t>
  </si>
  <si>
    <t>Actas de reunión de pruebas del sistema en entorno de pruebas para autorización de paso a producción</t>
  </si>
  <si>
    <t>Profesional Especializado TICS / Planeación</t>
  </si>
  <si>
    <t xml:space="preserve">Cambio de versión </t>
  </si>
  <si>
    <t>ADQUISICIÓN DESARROLLO Y MANTENIMIENTO DE SISTEMAS</t>
  </si>
  <si>
    <t>Requisitos de seguridad de los sistemas de información</t>
  </si>
  <si>
    <t xml:space="preserve">Análisis y especificación de requisitos de seguridad de la información </t>
  </si>
  <si>
    <t>Contrato de soporte</t>
  </si>
  <si>
    <t>Contratos de soporte suscritos entre el proveedor y la Agencia</t>
  </si>
  <si>
    <t>Aceptar</t>
  </si>
  <si>
    <t>No aplica.</t>
  </si>
  <si>
    <t>NO APLICA</t>
  </si>
  <si>
    <t>No aplica</t>
  </si>
  <si>
    <t>Información - Unidad compartida Contiene información documental sobre; Estudios previos, contratos, seguimientos, y demás asociados a la gestión de la Agencia.</t>
  </si>
  <si>
    <t>Económico y Reputacional</t>
  </si>
  <si>
    <t>Personal interno y externo</t>
  </si>
  <si>
    <t>Perdida, daño o modificación de la información</t>
  </si>
  <si>
    <t>Backup de la información en discos</t>
  </si>
  <si>
    <t>Registros de backup realizadas en la herramienta veeam backup</t>
  </si>
  <si>
    <t>Profesional Especializado</t>
  </si>
  <si>
    <t>Implementar el plan de recuperación de desastres de la Agencia.</t>
  </si>
  <si>
    <t>SEGURIDAD DE LAS OPERACIONES</t>
  </si>
  <si>
    <t>Copias de respaldo</t>
  </si>
  <si>
    <t>Respaldo de la información</t>
  </si>
  <si>
    <t>Mensual</t>
  </si>
  <si>
    <t>Backup de la información en cinta (cintas guardas fuera de la Agencia)</t>
  </si>
  <si>
    <t>Asignación de permisos por LDAP</t>
  </si>
  <si>
    <t>Registro de permisos en el directorio activo</t>
  </si>
  <si>
    <t>Profesional Universitario</t>
  </si>
  <si>
    <t>Asignación de permisos en la carpeta, de lectura, escritura. Solo para usuarios registrados en LDAP</t>
  </si>
  <si>
    <t>Registro de permisos en las opciones de seguridad de las carpetas</t>
  </si>
  <si>
    <t>Versiones desactualizadas, plataforma sin soporte.
Consola de antivirus no actualizada.</t>
  </si>
  <si>
    <t>Virus informático. Software con código malicioso.</t>
  </si>
  <si>
    <t>Pérdida de los servicios esenciales</t>
  </si>
  <si>
    <t>Perdida, daño o modificación de la información y de sistemas operativos.</t>
  </si>
  <si>
    <t>La actividad que conlleva el riesgo se ejecuta como máximos 2 veces por año</t>
  </si>
  <si>
    <t xml:space="preserve">     El riesgo afecta la imagen de la entidad internamente, de conocimiento general, nivel interno, de junta dircetiva y accionistas y/o de provedores</t>
  </si>
  <si>
    <t>Actualización de versiones</t>
  </si>
  <si>
    <t>Actas de implementación y actualización de nuevas versiones</t>
  </si>
  <si>
    <t>Renovación de soporte y suscripciones</t>
  </si>
  <si>
    <t>Contratos de renovación de licenciamiento y soporte</t>
  </si>
  <si>
    <t>Software - Programa informático para la liquidación de la nómina de los empleados: Asignación Básica, factores salariales, la seguridad social, los parafiscales, Cesantías, deducciones de ley y autorizadas y efectuar la liquidación de prestaciones sociales a empleados activos y a los que se retiran de la Entidad (SARA).</t>
  </si>
  <si>
    <t>Versiones desactualizadas
Parametrización errónea del sistema.</t>
  </si>
  <si>
    <t>Compromiso de las funciones</t>
  </si>
  <si>
    <t>Liquidación de nómina con errores.</t>
  </si>
  <si>
    <t>Contratos de soporte para el sitema</t>
  </si>
  <si>
    <t>Soporte de mantenimiento y actualizaciones</t>
  </si>
  <si>
    <t>Listas de asistencia</t>
  </si>
  <si>
    <t>Registro del sistema de backup veeam</t>
  </si>
  <si>
    <t>Profesional Espesializado</t>
  </si>
  <si>
    <t>Información - Estudios previos y ejecución de proyectos, proyectos de arquitectura TiCS, actualización de documentación de la infraestructura, pruebas funcionales de la infraestructura, actualización de sistemas operativos, actualización de sitios web, inventarios de ipv6 e ipv4 asignados.Actividades de seguridad, antivirus, cctv, ciclope, correctivo, correo, diagnósticos, diseño de arquitectura, estudios previos, ipv6, mise, nos, Orfeo, pagina web, planta eléctrica, sara, servidores, sofia.</t>
  </si>
  <si>
    <t xml:space="preserve">Pérdida de documentos </t>
  </si>
  <si>
    <t xml:space="preserve">Acceso no autorizado al archivo de gestión  por personas externa o internas </t>
  </si>
  <si>
    <t xml:space="preserve">Sanciones disciplinarias.
Pérdida de información.
Multas. </t>
  </si>
  <si>
    <t>Software - Sistema de gestión documental - Orfeo</t>
  </si>
  <si>
    <t>Sin certificado SSL</t>
  </si>
  <si>
    <t xml:space="preserve">Ataques de fuerza bruta. </t>
  </si>
  <si>
    <t>Fallas técnicas</t>
  </si>
  <si>
    <t xml:space="preserve">Falla en el software
</t>
  </si>
  <si>
    <t>Versionamiento del software en el repositorio git</t>
  </si>
  <si>
    <t>Registro de cambios y versiones en el repositorio git</t>
  </si>
  <si>
    <t>Instalación del certificado SSL en el ambiente productivo.</t>
  </si>
  <si>
    <t>CRIPTOGRAFÍA</t>
  </si>
  <si>
    <t>Controles criptográficos</t>
  </si>
  <si>
    <t>Gestión de llaves</t>
  </si>
  <si>
    <t>Software - Itop</t>
  </si>
  <si>
    <t>Sin certificado SSL , IP expuestas</t>
  </si>
  <si>
    <t xml:space="preserve">     El riesgo afecta la imagen de alguna área de la organización</t>
  </si>
  <si>
    <t>Probabilidad</t>
  </si>
  <si>
    <t>Baja</t>
  </si>
  <si>
    <t>Menor</t>
  </si>
  <si>
    <t>Moderado</t>
  </si>
  <si>
    <t>Información - SERVIDORES VIRTUALES SISTEMA OPERATIVO WINDOWS SERVER 2012; ZEUS, EUNICE, ATENEO, HEBEZK, HEBE, MCAFFEEDR, METIS, CRONOS, HERA, ferir SERVIDOR ARCHIVOS, platon SERVIDOR ARCHIVOS, FENIX, KRAKEN, QUIMERA, CENTAURO, CALISTA, ELECTRA, KRONOX, VEEAM fenix (IDRAC) Y GORGONAS, TARTAROS</t>
  </si>
  <si>
    <t>Acciones no autorizadas</t>
  </si>
  <si>
    <t>Perdiada de información
Servicios informativos inactivos como: carpetas compartidas, ingreso a plicaciónes, conexiones a bases de datos</t>
  </si>
  <si>
    <t>Información - SERVIDORES VIRTUALES SISTEMA O`PERATIVO UBUNTU COLOMBIAPAZ, LOKI, NEPTUNO, POSEIDON, MCAFEEL, SECURITAS, AFRIDITA, afrodita pruebas, PANDORA, MICROSAING, VCSUCUPSS, PRUEBAS BD ITOP, thor SERVIDOR BACKUP RETIRADOS, gitlab, miseralavel, miseprobd, mise, misebd, misearchivo, promise, orfeo, orfeo nuevo pruebas nuevo, pagina web NUEVA pruebas, pagina web NUEVA pruebas, PAGINA WEB NUEVA, DENIS,  VEEAMPROXI, VCENTER, UPDATE MANAGER, ARES.</t>
  </si>
  <si>
    <t>No realizar préstamos de archivo de gestión sin registro en cuadro control</t>
  </si>
  <si>
    <t>Información-COMPROBANTES CONTABLES (comprobantes contables manuales y obligaciones presupuestales).</t>
  </si>
  <si>
    <t>Gestión Financiera</t>
  </si>
  <si>
    <t>Pérdida de documentos físicos de gestión de obligaciones prespuestales y comprobantes contables manuales.</t>
  </si>
  <si>
    <t>Acceso no autorizado al archivo de gestión de obligaciones y comprobantes contables manuales  por personas externas o internas.</t>
  </si>
  <si>
    <t xml:space="preserve">Multas y Sanciones disciplinarias.  </t>
  </si>
  <si>
    <t>El coordinador del Grupo Interno de Trabajo de Gestión Financiera y de Servicios Administrativos registra en la planilla "Control préstamo de documentos" el expediente o carpeta solicitada, con fecha y firma de quien queda en custodia de la misma mientras se encuentra en calidad de préstamo</t>
  </si>
  <si>
    <t>A-FO-077 Control préstamo de documentos</t>
  </si>
  <si>
    <t>El coordinador del Grupo Interno de Trabajo de Gestión Financiera y de Servicios Administrativos</t>
  </si>
  <si>
    <t>Profesional con funciones contable</t>
  </si>
  <si>
    <t>Implementación de la continuidad de la seguridad de la información</t>
  </si>
  <si>
    <t xml:space="preserve">Informacion - REGISTROS Y RADICACIÓN DE LA PQRS CON SUS CORRESPONDIENTES ANEXOS     </t>
  </si>
  <si>
    <t>Gestión de Servicio al Ciudadano</t>
  </si>
  <si>
    <t xml:space="preserve">Susceptible a que la información con relación a las PQRSD sea sustraída y manipulada por personas no autorizadas de su Soporte y custodialo. </t>
  </si>
  <si>
    <t>Perdida de la información.</t>
  </si>
  <si>
    <t>Login de usuario con designación de perfiles y roles en el sistema</t>
  </si>
  <si>
    <t>Registro en el sistema Orfeo</t>
  </si>
  <si>
    <t>Coordinadora del grupo Financiero y de servicios administrativos</t>
  </si>
  <si>
    <t>Matriz de Calor Inherente</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</si>
  <si>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</si>
  <si>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</si>
  <si>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</si>
  <si>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</si>
  <si>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</si>
  <si>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</si>
  <si>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</si>
  <si>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</si>
  <si>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</si>
  <si>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</si>
  <si>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</si>
  <si>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</si>
  <si>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</si>
  <si>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</si>
  <si>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</si>
  <si>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</si>
  <si>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</si>
  <si>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Media</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</si>
  <si>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</si>
  <si>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</si>
  <si>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</si>
  <si>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</si>
  <si>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</si>
  <si>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</si>
  <si>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</si>
  <si>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</si>
  <si>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</si>
  <si>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</si>
  <si>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</si>
  <si>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</si>
  <si>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</si>
  <si>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</si>
  <si>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</si>
  <si>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</si>
  <si>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</si>
  <si>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</si>
  <si>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</si>
  <si>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</si>
  <si>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</si>
  <si>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</si>
  <si>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</si>
  <si>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</si>
  <si>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</si>
  <si>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</si>
  <si>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</si>
  <si>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</si>
  <si>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</si>
  <si>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</si>
  <si>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</si>
  <si>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</si>
  <si>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</si>
  <si>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</si>
  <si>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</si>
  <si>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</si>
  <si>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</si>
  <si>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</si>
  <si>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</si>
  <si>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</si>
  <si>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</si>
  <si>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</si>
  <si>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</si>
  <si>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</si>
  <si>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Tipo</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</si>
  <si>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</si>
  <si>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</si>
  <si>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</si>
  <si>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</si>
  <si>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</si>
  <si>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</si>
  <si>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</si>
  <si>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</si>
  <si>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Documentación</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</si>
  <si>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</si>
  <si>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</si>
  <si>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</si>
  <si>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</si>
  <si>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</si>
  <si>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Este atributo identifica a los controles que no siempre se ejecutan cuando se realiza la actividad originadora del riesgo</t>
  </si>
  <si>
    <t>Evidencia</t>
  </si>
  <si>
    <t>El control deja un registro que permite evidenciar la ejecución del control</t>
  </si>
  <si>
    <t>Sin Registro</t>
  </si>
  <si>
    <t>El control no deja registro de la ejecución del control</t>
  </si>
  <si>
    <t>Procesos</t>
  </si>
  <si>
    <t>Direccionamiento Estratégico y Planeación</t>
  </si>
  <si>
    <t>Preparación y Formulación de Cooperación Internacional</t>
  </si>
  <si>
    <t>Implementación y Seguimiento de Cooperación Internacional</t>
  </si>
  <si>
    <t>Gestión de Talento Humano</t>
  </si>
  <si>
    <t>Gestión Contractual</t>
  </si>
  <si>
    <t>Gestión Jurídica</t>
  </si>
  <si>
    <t>Gestión Administrativa</t>
  </si>
  <si>
    <t>Evaluación, Control y Mejoramiento</t>
  </si>
  <si>
    <t>CONTROLES</t>
  </si>
  <si>
    <t>POLITICAS DE LA SEGURIDAD DE LA INFORMACIÓN</t>
  </si>
  <si>
    <t>ORGANIZACIÓN DE LA SEGURIDAD DE LA INFORMACION</t>
  </si>
  <si>
    <t>Orientación de la dirección para la gestión de la seguridad de la información</t>
  </si>
  <si>
    <t>GESTIÓN DE ACTIVOS</t>
  </si>
  <si>
    <t xml:space="preserve">Políticas para la seguridad de la información </t>
  </si>
  <si>
    <t xml:space="preserve">Revisión de las políticas para la seguridad de la información </t>
  </si>
  <si>
    <t>Organización interna</t>
  </si>
  <si>
    <t>SEGURIDAD FÍSICA Y DEL ENTORNO</t>
  </si>
  <si>
    <t xml:space="preserve">Roles y responsabilidades para la seguridad de la información </t>
  </si>
  <si>
    <t>Separación de deberes</t>
  </si>
  <si>
    <t>SEGURIDAD DE LAS COMUNICACIONES</t>
  </si>
  <si>
    <t>Contacto con las autoridades</t>
  </si>
  <si>
    <t>Contacto con grupos de interés especial</t>
  </si>
  <si>
    <t>RELACIONES CON LOS PROVEEDORES</t>
  </si>
  <si>
    <t>Seguridad de la información en la gestión de proyectos</t>
  </si>
  <si>
    <t>GESTIÓN DE INCIDENTES DE SEGURIDAD DE LA INFORMACIÓN</t>
  </si>
  <si>
    <t>Dispositivos móviles y teletrabajo</t>
  </si>
  <si>
    <t>Política para dispositivos móviles</t>
  </si>
  <si>
    <t>CUMPLIMIENTO</t>
  </si>
  <si>
    <t>Teletrabajo</t>
  </si>
  <si>
    <t>Antes de asumir el empleo</t>
  </si>
  <si>
    <t xml:space="preserve">Selección </t>
  </si>
  <si>
    <t>Términos y condiciones del empleo</t>
  </si>
  <si>
    <t>Responsabilidades de la dirección</t>
  </si>
  <si>
    <t>Proceso disciplinario</t>
  </si>
  <si>
    <t>Terminación y cambio de empleo</t>
  </si>
  <si>
    <t>Terminación o cambio de responsabilidades de empleo</t>
  </si>
  <si>
    <t>Responsabilidad por los activos</t>
  </si>
  <si>
    <t>Inventario de activos</t>
  </si>
  <si>
    <t>Propiedad de los activos</t>
  </si>
  <si>
    <t>Uso aceptable de los activos</t>
  </si>
  <si>
    <t>Devolución de activos</t>
  </si>
  <si>
    <t>Clasificación de la información</t>
  </si>
  <si>
    <t>Etiquetado de la información</t>
  </si>
  <si>
    <t>Manejo de medios</t>
  </si>
  <si>
    <t>Manejo de activos</t>
  </si>
  <si>
    <t>Gestión de medios removibles</t>
  </si>
  <si>
    <t>Requisitos del negocio para control de acceso</t>
  </si>
  <si>
    <t>Disposición de los medios</t>
  </si>
  <si>
    <t>Transferencia de medios físicos</t>
  </si>
  <si>
    <t>Responsabilidades de los usuarios</t>
  </si>
  <si>
    <t xml:space="preserve">Control de acceso a sistemas y aplicaciones </t>
  </si>
  <si>
    <t>Política de control de acceso</t>
  </si>
  <si>
    <t>Acceso a redes y a servicios en red</t>
  </si>
  <si>
    <t>Registro y cancelación del registro de usuarios</t>
  </si>
  <si>
    <t>Suministro de acceso de usuarios</t>
  </si>
  <si>
    <t>Áreas seguras</t>
  </si>
  <si>
    <t>Gestión de información de autenticación secreta de usuarios</t>
  </si>
  <si>
    <t>Equipos</t>
  </si>
  <si>
    <t xml:space="preserve"> Revisión de los derechos de acceso de usuarios</t>
  </si>
  <si>
    <t>Retiro o ajuste de los derechos de acceso</t>
  </si>
  <si>
    <t xml:space="preserve">SEGURIDAD DE LAS OPERACIONES </t>
  </si>
  <si>
    <t>Procedimientos operacionales y responsabilidades</t>
  </si>
  <si>
    <t>Uso de información de autenticación secreta</t>
  </si>
  <si>
    <t>Protección contra códigos maliciosos</t>
  </si>
  <si>
    <t>Restricción de acceso a la información</t>
  </si>
  <si>
    <t>Registro y seguimiento</t>
  </si>
  <si>
    <t>Procedimiento de ingreso seguro</t>
  </si>
  <si>
    <t>Control de software operacional</t>
  </si>
  <si>
    <t xml:space="preserve">Sistema de gestión de contraseñas </t>
  </si>
  <si>
    <t>Gestión de la vulnerabilidad técnica</t>
  </si>
  <si>
    <t>Uso de programas utilitarios privilegiados</t>
  </si>
  <si>
    <t>Consideraciones sobre auditorías de sistemas de información</t>
  </si>
  <si>
    <t>Control de acceso a códigos fuente de programas</t>
  </si>
  <si>
    <t>Política sobre el uso de controles criptográficos</t>
  </si>
  <si>
    <t>Gestión de la seguridad de las redes</t>
  </si>
  <si>
    <t>Transferencia de información</t>
  </si>
  <si>
    <t>Perímetro de seguridad física</t>
  </si>
  <si>
    <t>Controles de acceso físicos</t>
  </si>
  <si>
    <t>Seguridad de oficinas recintos e instalaciones</t>
  </si>
  <si>
    <t>Seguridad en los procesos de desarrollo y de soporte</t>
  </si>
  <si>
    <t>Protección contra amenazas externas y ambientales</t>
  </si>
  <si>
    <t>Datos de prueba</t>
  </si>
  <si>
    <t>Trabajo en áreas seguras</t>
  </si>
  <si>
    <t>Áreas de despacho y carga</t>
  </si>
  <si>
    <t>Seguridad de la información en las relaciones con los proveedores</t>
  </si>
  <si>
    <t>Ubicación y protección de los equipos</t>
  </si>
  <si>
    <t>Gestión de la prestación de servicios de proveedores</t>
  </si>
  <si>
    <t>Servicios de suministro</t>
  </si>
  <si>
    <t>Seguridad del cableado</t>
  </si>
  <si>
    <t>Mantenimiento de equipos</t>
  </si>
  <si>
    <t>Gestión de incidentes y mejoras en la seguridad de la información</t>
  </si>
  <si>
    <t>Retiro de activos</t>
  </si>
  <si>
    <t>Seguridad de equipos y activos fuera de las instalaciones</t>
  </si>
  <si>
    <t>Disposición segura o reutilización de equipos</t>
  </si>
  <si>
    <t>Equipos de usuario desatendido</t>
  </si>
  <si>
    <t>Redundancias</t>
  </si>
  <si>
    <t>Política de escritorio limpio y pantalla limpia</t>
  </si>
  <si>
    <t>Procedimientos de operación documentados</t>
  </si>
  <si>
    <t>Cumplimiento de requisitos legales y contractuales</t>
  </si>
  <si>
    <t>Gestión de cambios</t>
  </si>
  <si>
    <t>Gestión de capacidad</t>
  </si>
  <si>
    <t>Separación de los ambientes de desarrollo pruebas y operación</t>
  </si>
  <si>
    <t>Controles contra códigos maliciosos</t>
  </si>
  <si>
    <t>Registro de eventos</t>
  </si>
  <si>
    <t>Protección de la información de registro</t>
  </si>
  <si>
    <t>Registros del administrador y del operado</t>
  </si>
  <si>
    <t>Sincronización de relojes</t>
  </si>
  <si>
    <t>Instalación de software en sistemas operativos</t>
  </si>
  <si>
    <t xml:space="preserve">Gestión de las vulnerabilidades técnicas </t>
  </si>
  <si>
    <t>Restricciones sobre la instalación de software</t>
  </si>
  <si>
    <t>Controles de auditorías de sistemas de información</t>
  </si>
  <si>
    <t>Controles de redes</t>
  </si>
  <si>
    <t>Seguridad de los servicios de red</t>
  </si>
  <si>
    <t>Separación en las redes</t>
  </si>
  <si>
    <t>Políticas y procedimientos de transferencia de información</t>
  </si>
  <si>
    <t>Acuerdos sobre transferencia de información</t>
  </si>
  <si>
    <t>Mensajería electrónica</t>
  </si>
  <si>
    <t>Acuerdos de confidencialidad o de no divulgación</t>
  </si>
  <si>
    <t>Seguridad de servicios de las aplicaciones en redes públicas</t>
  </si>
  <si>
    <t>Protección de transacciones de los servicios de las aplicaciones</t>
  </si>
  <si>
    <t>Política de desarrollo seguro</t>
  </si>
  <si>
    <t>Procedimientos de control de cambios en sistemas</t>
  </si>
  <si>
    <t>Revisión técnica de las aplicaciones después de cambios en la plataforma de operación</t>
  </si>
  <si>
    <t>Restricciones en los cambios a los paquetes de software</t>
  </si>
  <si>
    <t>Principios de construcción de los sistemas seguros</t>
  </si>
  <si>
    <t>Ambiente de desarrollo seguro</t>
  </si>
  <si>
    <t>Desarrollo contratado externamente</t>
  </si>
  <si>
    <t>Pruebas de seguridad de sistemas</t>
  </si>
  <si>
    <t>Prueba de aceptación de sistemas</t>
  </si>
  <si>
    <t>Protección de datos de prueba</t>
  </si>
  <si>
    <t>Política de seguridad de la información para las relaciones con proveedores</t>
  </si>
  <si>
    <t>Tratamiento de la seguridad dentro de los acuerdos con proveedores</t>
  </si>
  <si>
    <t>Cadena de suministro de tecnología de información y comunicación</t>
  </si>
  <si>
    <t>Seguimiento y revisión de los servicios de los proveedores</t>
  </si>
  <si>
    <t>Gestión de cambios en los servicios de los proveedores</t>
  </si>
  <si>
    <t>Responsabilidades y procedimientos</t>
  </si>
  <si>
    <t>Reporte de eventos de seguridad de la información</t>
  </si>
  <si>
    <t>Reporte de debilidades de seguridad de la información</t>
  </si>
  <si>
    <t>Evaluación de eventos de seguridad de la información y decisiones sobre ellos.</t>
  </si>
  <si>
    <t>Respuesta a incidentes de seguridad de la información</t>
  </si>
  <si>
    <t>Aprendizaje obtenido de los incidentes de seguridad de la información</t>
  </si>
  <si>
    <t>Recolección de evidencia</t>
  </si>
  <si>
    <t>Verificación, revisión y evaluación de la continuidad de la seguridad de la información</t>
  </si>
  <si>
    <t>Disponibilidad de instalaciones de procesamiento de información.</t>
  </si>
  <si>
    <t>Identificación de la legislación aplicable y de los requisitos contractuales</t>
  </si>
  <si>
    <t>Derechos de propiedad intelectual</t>
  </si>
  <si>
    <t>Protección de registros</t>
  </si>
  <si>
    <t xml:space="preserve">Privacidad y protección de información de datos personales </t>
  </si>
  <si>
    <t>Reglamentación de controles criptográficos</t>
  </si>
  <si>
    <t>Revisiones de seguridad de la información</t>
  </si>
  <si>
    <t>Revisión independiente de la seguridad de la información</t>
  </si>
  <si>
    <t>Cumplimiento con las políticas y normas de seguridad</t>
  </si>
  <si>
    <t>Revisión del cumplimiento técnico</t>
  </si>
  <si>
    <t>TIPOS</t>
  </si>
  <si>
    <t>Daño físico</t>
  </si>
  <si>
    <t>Eventos naturales</t>
  </si>
  <si>
    <t>Perturbación debida a la radiación</t>
  </si>
  <si>
    <t>Criminal de la computación</t>
  </si>
  <si>
    <t>Terrorismo</t>
  </si>
  <si>
    <t>Espionaje industrial
(Inteligencia, empresas, gobiernos extranjeros, otros intereses gubernamentales)</t>
  </si>
  <si>
    <t>Intrusos (empleados con entrenamiento deficiente, descontentos, malintencionados, negligentes, deshonestos o despedidos)</t>
  </si>
  <si>
    <t>INDICADOR</t>
  </si>
  <si>
    <t>Eficacia</t>
  </si>
  <si>
    <t>Ïndice de cumplimiento de actividades = (# de actividades cumplidas / # de actividades programadas)*100</t>
  </si>
  <si>
    <t>Efectividad del plan de manejo de riesgos = (# de modificaciones no autorizadas)</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</si>
  <si>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</si>
  <si>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</si>
  <si>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</si>
  <si>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Reducir (compartir)</t>
  </si>
  <si>
    <t>Plan de accion (solo para la opción reducir)</t>
  </si>
  <si>
    <t>Finalizado</t>
  </si>
  <si>
    <t>Daños Activos Fisicos</t>
  </si>
  <si>
    <t>Ejecucion y Administracion de procesos</t>
  </si>
  <si>
    <t>Fraude Externo</t>
  </si>
  <si>
    <t>Fraude Interno</t>
  </si>
  <si>
    <t>Relaciones Laborales</t>
  </si>
  <si>
    <t>Registro Sustancial</t>
  </si>
  <si>
    <t>Registro Material</t>
  </si>
  <si>
    <t>Sin registro</t>
  </si>
  <si>
    <t>Reducir</t>
  </si>
  <si>
    <t>Perdida, daño o alteración de la información.</t>
  </si>
  <si>
    <t>Borrado o cambios no autorizado de la información</t>
  </si>
  <si>
    <t>Software - que protege los dispositivos la red con un enfoque de defensa por capas. Este enfoque protege los dispositivos individuales y toda la red a través del análisis de virus y spyware</t>
  </si>
  <si>
    <t>Contrato de bolsa de horas de capacitación del manejo de la herramienta a los usuarios funcionales</t>
  </si>
  <si>
    <t>Pérdida de documentos</t>
  </si>
  <si>
    <t>Borrado o modificación no autorizada de la información contenida en los servidores
Daño de sistema operativo</t>
  </si>
  <si>
    <t>Personal interno y/o externo</t>
  </si>
  <si>
    <t>Registros de backup realizadas en la herramienta veeam backup, entrega de cintas a contratista encargado de la custodia</t>
  </si>
  <si>
    <t>Impacto
Analice las consecuencias que puede ocasionar a la organización la materialización del riesgo y sleecione una opción de la lista</t>
  </si>
  <si>
    <t>Atributos 
Implementación</t>
  </si>
  <si>
    <t>Tipo.
Tipo Compromiso de la informaciòn, las amenasas que pueden ser de este tipo son: Espionaje remoto, hurto de medioo o documentos, hurto de equipos, divulgaciòn..</t>
  </si>
  <si>
    <t>Clasificación del Riesgo.
Seleccione un opción de la lista</t>
  </si>
  <si>
    <t>Perdida de información
Servicios informativos inactivos como: carpetas compartidas, ingreso a plicaciónes, conexiones a bases de datos</t>
  </si>
  <si>
    <t>Atributos 
Evidencia</t>
  </si>
  <si>
    <t>Atributos
Afectación</t>
  </si>
  <si>
    <t>Atributos 
Responsable</t>
  </si>
  <si>
    <t>Atributos
Frecuencia</t>
  </si>
  <si>
    <t>Atributos 
Documentación</t>
  </si>
  <si>
    <t>Atributos 
Calificación</t>
  </si>
  <si>
    <t xml:space="preserve">Perdida de integridad de la  información registrada en el módulo de donaciones en especie, que puede causar la desinformación debido al mal uso del aplicativo. </t>
  </si>
  <si>
    <t>Perdida de integridad de la  información registrada en el módulo de donaciones en especie, que puede causar la desinformación debido al mal uso del aplicativo.</t>
  </si>
  <si>
    <t xml:space="preserve">Perdida de integridad de información debido a la consulta y acceso a personas internas que modifican, borran o manipulan información sin autorización. </t>
  </si>
  <si>
    <t>Posibilidad de perdida disponibilidad y daño reputacional debido a la desactualización del versionamiento que lo hace suceptible a ataques de fuerza bruta  o sql inyeccion.</t>
  </si>
  <si>
    <t xml:space="preserve">Perdida de integridad y disponibilidad de informacion debido a borrado o cambios no autorizados por personal interno y externo, generando  afectación económica y reputacional </t>
  </si>
  <si>
    <t>Posibilidad de perdida de disponibilidad por desactualización de la consola de antivirus o plataforma sin soporte permitiendo ser infectados por diferentes tipos de virus informático o software con código malicioso.</t>
  </si>
  <si>
    <t>Perdida de confidencialidad y disponibilidad de la Información debido a versiones desactualizadas y parametrización errónea del sistema que pueden ser aprovechadas por personal interno y externo para realizar ataques de SQL inyeccion causando afectación económica y reputacional.</t>
  </si>
  <si>
    <t>Perdida de confidencialidad y disponibilidad de la Información debido a versiones desactualizadas y parametrización errónea del sistema que pueden ser aprovechadas por personal interno y externo para realizar ataques de SQL inyeccion causando afectación económica y reputacional..</t>
  </si>
  <si>
    <t>Posibilidad de pérdida de integridad y disponibilidad de documentos debido al acceso no autorizado al archivo de gestión por personas externas e internas.</t>
  </si>
  <si>
    <t>Pérdida de la integridad o confidencialidad de la información por vulnerabilidades asociadas a la plataforma técnica que soporta procesos críticos.</t>
  </si>
  <si>
    <t>Pérdida económica por la no disponibilidad de los sistemas o interrupción de las operaciones a causa de ataques internos a la plataforma tecnológica.</t>
  </si>
  <si>
    <t>Perdida de disponibilidad de la plataforma tecnólogica o intentos de fraude externo.</t>
  </si>
  <si>
    <t>Perdida de disponiibilidad de la información debido a que el sistema está sin certificado SSL e IP expuestas, permitiendo la posible materialización de un ataque de fuerza bruta.</t>
  </si>
  <si>
    <t>Perdida de integridad y disponibilidad debido a borrado y/o alteración no autorizada de la información contenida en los servidores y/o daño de sistema operativo causado por personal interno y/o externo.</t>
  </si>
  <si>
    <t xml:space="preserve">Perdida de integridad y disponibilidad debido a borrado y/o alteración no autorizada de la información contenida en los servidores y/o daño de sistema operativo causado por personal interno y/o externo causando afectación economica y reputacional. </t>
  </si>
  <si>
    <t>Perdida de disponibilidad de la información debido al acceso no autorizado de documentos físicos soporte de las obligaciones presupuestales y comprobantes contables manuales que se encuentran en archivo de gestión.</t>
  </si>
  <si>
    <t xml:space="preserve">Pérdida de integridad de información por acceso no autorizado de Persona interna o externa  que  no tenga autorización con el soporte y custodia. </t>
  </si>
  <si>
    <t>Pérdida de integridad de información por acceso no autorizado de Persona interna o externa  que  no tenga autorización con el soporte y custodia.</t>
  </si>
  <si>
    <t>Perdida de integridad de la  información debido a la modificación de personal interno.</t>
  </si>
  <si>
    <t>Perdida de integridad de la información debido a la modificación de personal interno.</t>
  </si>
  <si>
    <t>Pérdidade Integridad de la información de la matriz de seguimiento a los certificados de utilidad comun -CUC</t>
  </si>
  <si>
    <t xml:space="preserve">Posibilidad de pérdida de integridad de la  información registrada en el módulo de donaciones en especie, que puede causar la desinformación debido al mal uso del aplicativo. </t>
  </si>
  <si>
    <t>Afectación de información</t>
  </si>
  <si>
    <t>Confidencialidad, Disponibilidad, Integridad</t>
  </si>
  <si>
    <t>Integridad</t>
  </si>
  <si>
    <t>Confidencialidad, Integridad</t>
  </si>
  <si>
    <t>Disponibilidad</t>
  </si>
  <si>
    <t>Integridad, Disponibilidad</t>
  </si>
  <si>
    <t>Disponibilidad, Confidencialidad</t>
  </si>
  <si>
    <t xml:space="preserve">Control de Cambios  </t>
  </si>
  <si>
    <t>FECHA DE REVISIÓN</t>
  </si>
  <si>
    <t>CAMBIO REALIZADO</t>
  </si>
  <si>
    <t>REALIZADO POR:</t>
  </si>
  <si>
    <t>15 DE ABRIL DE 2023</t>
  </si>
  <si>
    <t xml:space="preserve">Se realizó modificacion de las descripciones de riesgos en el que se incluyeron criterios relacionados con la perdida de Confidencialidad, Integridad y Disponibilidad. </t>
  </si>
  <si>
    <t xml:space="preserve">Jesús David Diaz
Luis Hurtado. </t>
  </si>
  <si>
    <t>APROBADO POR</t>
  </si>
  <si>
    <t>JOSE HECTOR MARTINEZ</t>
  </si>
  <si>
    <t>Tipo.</t>
  </si>
  <si>
    <t>Impacto Inherente</t>
  </si>
  <si>
    <t>Número del control</t>
  </si>
  <si>
    <t>ATRIBUTOS INFORMATIVOS
Probabilidad Residual</t>
  </si>
  <si>
    <t>ATRIBUTOS INFORMATIVOS
Afectación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</si>
</sst>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2" x14ac:knownFonts="1">
    <font>
      <sz val="11"/>
      <color theme="1"/>
      <name val="Calibri"/>
      <family val="2"/>
      <scheme val="minor"/>
    </font>
    <font>
      <sz val="10"/>
      <color rgb="FF000000"/>
      <name val="Arial Narrow"/>
      <family val="2"/>
    </font>
    <font>
      <b/>
      <sz val="11"/>
      <color theme="1"/>
      <name val="Arial Narrow"/>
      <family val="2"/>
    </font>
    <font>
      <sz val="10"/>
      <color theme="1"/>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b/>
      <sz val="8"/>
      <color theme="1"/>
      <name val="Arial"/>
      <family val="2"/>
    </font>
    <font>
      <b/>
      <sz val="10"/>
      <color theme="1"/>
      <name val="Calibri"/>
      <family val="2"/>
      <scheme val="minor"/>
    </font>
    <font>
      <sz val="9"/>
      <color indexed="81"/>
      <name val="Tahoma"/>
      <family val="2"/>
    </font>
    <font>
      <b/>
      <sz val="9"/>
      <color indexed="81"/>
      <name val="Tahoma"/>
      <family val="2"/>
    </font>
    <font>
      <b/>
      <sz val="12"/>
      <name val="Arial"/>
      <family val="2"/>
    </font>
    <font>
      <sz val="12"/>
      <name val="Arial"/>
      <family val="2"/>
    </font>
    <font>
      <b/>
      <sz val="24"/>
      <name val="Arial"/>
      <family val="2"/>
    </font>
    <font>
      <b/>
      <sz val="12"/>
      <color theme="0"/>
      <name val="Arial"/>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1" tint="0.499984740745262"/>
        <bgColor indexed="64"/>
      </patternFill>
    </fill>
    <fill>
      <patternFill patternType="solid">
        <fgColor theme="4"/>
        <bgColor indexed="64"/>
      </patternFill>
    </fill>
    <fill>
      <patternFill patternType="solid">
        <fgColor theme="6" tint="-0.249977111117893"/>
        <bgColor indexed="64"/>
      </patternFill>
    </fill>
    <fill>
      <patternFill patternType="solid">
        <fgColor theme="2" tint="-9.9978637043366805E-2"/>
        <bgColor indexed="64"/>
      </patternFill>
    </fill>
  </fills>
  <borders count="66">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DashDotDot">
        <color theme="9" tint="-0.24994659260841701"/>
      </right>
      <top style="medium">
        <color indexed="64"/>
      </top>
      <bottom style="medium">
        <color indexed="64"/>
      </bottom>
      <diagonal/>
    </border>
    <border>
      <left style="mediumDashDotDot">
        <color theme="9" tint="-0.24994659260841701"/>
      </left>
      <right/>
      <top style="medium">
        <color indexed="64"/>
      </top>
      <bottom style="medium">
        <color indexed="64"/>
      </bottom>
      <diagonal/>
    </border>
    <border>
      <left/>
      <right style="mediumDashDotDot">
        <color theme="9" tint="-0.24994659260841701"/>
      </right>
      <top style="mediumDashDotDot">
        <color theme="9" tint="-0.24994659260841701"/>
      </top>
      <bottom/>
      <diagonal/>
    </border>
    <border>
      <left/>
      <right/>
      <top style="mediumDashDotDot">
        <color theme="9" tint="-0.24994659260841701"/>
      </top>
      <bottom/>
      <diagonal/>
    </border>
    <border>
      <left style="mediumDashDotDot">
        <color theme="9" tint="-0.24994659260841701"/>
      </left>
      <right/>
      <top style="mediumDashDotDot">
        <color theme="9" tint="-0.24994659260841701"/>
      </top>
      <bottom/>
      <diagonal/>
    </border>
    <border>
      <left/>
      <right style="mediumDashDotDot">
        <color theme="9" tint="-0.24994659260841701"/>
      </right>
      <top/>
      <bottom style="mediumDashDotDot">
        <color theme="9" tint="-0.24994659260841701"/>
      </bottom>
      <diagonal/>
    </border>
    <border>
      <left/>
      <right style="mediumDashDotDot">
        <color theme="9" tint="-0.24994659260841701"/>
      </right>
      <top style="mediumDashDotDot">
        <color theme="9" tint="-0.24994659260841701"/>
      </top>
      <bottom style="mediumDashDotDot">
        <color theme="9" tint="-0.24994659260841701"/>
      </bottom>
      <diagonal/>
    </border>
    <border>
      <left/>
      <right/>
      <top/>
      <bottom style="mediumDashDotDot">
        <color theme="9" tint="-0.24994659260841701"/>
      </bottom>
      <diagonal/>
    </border>
    <border>
      <left/>
      <right/>
      <top style="mediumDashDotDot">
        <color theme="9" tint="-0.24994659260841701"/>
      </top>
      <bottom style="mediumDashDotDot">
        <color theme="9" tint="-0.24994659260841701"/>
      </bottom>
      <diagonal/>
    </border>
    <border>
      <left style="mediumDashDotDot">
        <color theme="9" tint="-0.24994659260841701"/>
      </left>
      <right/>
      <top/>
      <bottom style="mediumDashDotDot">
        <color theme="9" tint="-0.24994659260841701"/>
      </bottom>
      <diagonal/>
    </border>
    <border>
      <left style="medium">
        <color indexed="64"/>
      </left>
      <right style="medium">
        <color indexed="64"/>
      </right>
      <top/>
      <bottom style="medium">
        <color indexed="64"/>
      </bottom>
      <diagonal/>
    </border>
    <border>
      <left/>
      <right/>
      <top style="medium">
        <color indexed="64"/>
      </top>
      <bottom style="mediumDashDotDot">
        <color theme="9" tint="-0.24994659260841701"/>
      </bottom>
      <diagonal/>
    </border>
    <border>
      <left/>
      <right style="mediumDashDotDot">
        <color theme="9" tint="-0.24994659260841701"/>
      </right>
      <top style="medium">
        <color indexed="64"/>
      </top>
      <bottom style="mediumDashDotDot">
        <color theme="9" tint="-0.24994659260841701"/>
      </bottom>
      <diagonal/>
    </border>
    <border>
      <left style="medium">
        <color indexed="64"/>
      </left>
      <right style="medium">
        <color indexed="64"/>
      </right>
      <top style="medium">
        <color indexed="64"/>
      </top>
      <bottom/>
      <diagonal/>
    </border>
    <border>
      <left/>
      <right/>
      <top style="mediumDashDotDot">
        <color theme="9" tint="-0.24994659260841701"/>
      </top>
      <bottom style="medium">
        <color indexed="64"/>
      </bottom>
      <diagonal/>
    </border>
    <border>
      <left/>
      <right style="mediumDashDotDot">
        <color theme="9" tint="-0.24994659260841701"/>
      </right>
      <top style="mediumDashDotDot">
        <color theme="9" tint="-0.24994659260841701"/>
      </top>
      <bottom style="medium">
        <color indexed="64"/>
      </bottom>
      <diagonal/>
    </border>
    <border>
      <left style="mediumDashDotDot">
        <color theme="9" tint="-0.24994659260841701"/>
      </left>
      <right/>
      <top style="medium">
        <color indexed="64"/>
      </top>
      <bottom/>
      <diagonal/>
    </border>
    <border>
      <left style="mediumDashDotDot">
        <color theme="9" tint="-0.24994659260841701"/>
      </left>
      <right/>
      <top/>
      <bottom style="medium">
        <color indexed="64"/>
      </bottom>
      <diagonal/>
    </border>
    <border>
      <left style="medium">
        <color indexed="64"/>
      </left>
      <right style="medium">
        <color indexed="64"/>
      </right>
      <top/>
      <bottom/>
      <diagonal/>
    </border>
    <border>
      <left style="mediumDashDotDot">
        <color theme="9" tint="-0.24994659260841701"/>
      </left>
      <right/>
      <top/>
      <bottom/>
      <diagonal/>
    </border>
    <border>
      <left style="mediumDashDotDot">
        <color theme="9" tint="-0.24994659260841701"/>
      </left>
      <right style="medium">
        <color indexed="64"/>
      </right>
      <top/>
      <bottom/>
      <diagonal/>
    </border>
  </borders>
  <cellStyleXfs count="5">
    <xf numFmtId="0" fontId="0" fillId="0" borderId="0"/>
    <xf numFmtId="9" fontId="10" fillId="0" borderId="0" applyFont="0" applyFill="0" applyBorder="0" applyAlignment="0" applyProtection="0"/>
    <xf numFmtId="0" fontId="42" fillId="0" borderId="0"/>
    <xf numFmtId="0" fontId="43" fillId="0" borderId="0"/>
    <xf numFmtId="0" fontId="3" fillId="0" borderId="0"/>
  </cellStyleXfs>
  <cellXfs count="482">
    <xf numFmtId="0" fontId="0" fillId="0" borderId="0" xfId="0"/>
    <xf numFmtId="0" fontId="3" fillId="0" borderId="0" xfId="0" applyFont="1"/>
    <xf numFmtId="0" fontId="1" fillId="0" borderId="1" xfId="0" applyFont="1" applyBorder="1" applyAlignment="1">
      <alignment horizontal="left" vertical="center" wrapText="1" indent="1" readingOrder="1"/>
    </xf>
    <xf numFmtId="0" fontId="4" fillId="0" borderId="0" xfId="0" applyFont="1" applyAlignment="1">
      <alignment horizontal="center" vertical="center" wrapText="1"/>
    </xf>
    <xf numFmtId="0" fontId="5" fillId="6" borderId="0" xfId="0" applyFont="1" applyFill="1" applyAlignment="1">
      <alignment horizontal="center" vertical="center" wrapText="1" readingOrder="1"/>
    </xf>
    <xf numFmtId="0" fontId="6" fillId="5" borderId="2" xfId="0" applyFont="1" applyFill="1" applyBorder="1" applyAlignment="1">
      <alignment horizontal="center" vertical="center" wrapText="1" readingOrder="1"/>
    </xf>
    <xf numFmtId="0" fontId="6" fillId="0" borderId="2" xfId="0" applyFont="1" applyBorder="1" applyAlignment="1">
      <alignment horizontal="justify" vertical="center" wrapText="1" readingOrder="1"/>
    </xf>
    <xf numFmtId="9" fontId="6" fillId="0" borderId="2" xfId="0" applyNumberFormat="1" applyFont="1" applyBorder="1" applyAlignment="1">
      <alignment horizontal="center" vertical="center" wrapText="1" readingOrder="1"/>
    </xf>
    <xf numFmtId="0" fontId="6" fillId="7" borderId="1" xfId="0" applyFont="1" applyFill="1" applyBorder="1" applyAlignment="1">
      <alignment horizontal="center" vertical="center" wrapText="1" readingOrder="1"/>
    </xf>
    <xf numFmtId="0" fontId="6" fillId="0" borderId="1" xfId="0" applyFont="1" applyBorder="1" applyAlignment="1">
      <alignment horizontal="justify" vertical="center" wrapText="1" readingOrder="1"/>
    </xf>
    <xf numFmtId="9" fontId="6" fillId="0" borderId="1" xfId="0" applyNumberFormat="1" applyFont="1" applyBorder="1" applyAlignment="1">
      <alignment horizontal="center" vertical="center" wrapText="1" readingOrder="1"/>
    </xf>
    <xf numFmtId="0" fontId="6" fillId="4" borderId="1" xfId="0" applyFont="1" applyFill="1" applyBorder="1" applyAlignment="1">
      <alignment horizontal="center" vertical="center" wrapText="1" readingOrder="1"/>
    </xf>
    <xf numFmtId="0" fontId="6" fillId="8" borderId="1" xfId="0" applyFont="1" applyFill="1" applyBorder="1" applyAlignment="1">
      <alignment horizontal="center" vertical="center" wrapText="1" readingOrder="1"/>
    </xf>
    <xf numFmtId="0" fontId="7" fillId="9" borderId="1" xfId="0" applyFont="1" applyFill="1" applyBorder="1" applyAlignment="1">
      <alignment horizontal="center" vertical="center" wrapText="1" readingOrder="1"/>
    </xf>
    <xf numFmtId="0" fontId="11" fillId="0" borderId="0" xfId="0" applyFont="1"/>
    <xf numFmtId="0" fontId="9" fillId="0" borderId="0" xfId="0" applyFont="1"/>
    <xf numFmtId="0" fontId="23" fillId="0" borderId="0" xfId="0" applyFont="1" applyFill="1" applyAlignment="1">
      <alignment vertical="center"/>
    </xf>
    <xf numFmtId="0" fontId="24" fillId="0" borderId="0" xfId="0" applyFont="1" applyFill="1"/>
    <xf numFmtId="0" fontId="22" fillId="0" borderId="0" xfId="0" applyFont="1"/>
    <xf numFmtId="0" fontId="0" fillId="0" borderId="0" xfId="0" pivotButton="1"/>
    <xf numFmtId="0" fontId="8" fillId="0" borderId="0" xfId="0" applyFont="1" applyBorder="1" applyAlignment="1">
      <alignment horizontal="justify" vertical="center" wrapText="1" readingOrder="1"/>
    </xf>
    <xf numFmtId="0" fontId="25" fillId="0" borderId="0" xfId="0" applyFont="1"/>
    <xf numFmtId="0" fontId="27" fillId="6" borderId="0" xfId="0" applyFont="1" applyFill="1" applyAlignment="1">
      <alignment horizontal="center" vertical="center" wrapText="1" readingOrder="1"/>
    </xf>
    <xf numFmtId="0" fontId="28" fillId="0" borderId="2" xfId="0" applyFont="1" applyBorder="1" applyAlignment="1">
      <alignment horizontal="justify" vertical="center" wrapText="1" readingOrder="1"/>
    </xf>
    <xf numFmtId="0" fontId="28" fillId="0" borderId="1" xfId="0" applyFont="1" applyBorder="1" applyAlignment="1">
      <alignment horizontal="justify" vertical="center" wrapText="1" readingOrder="1"/>
    </xf>
    <xf numFmtId="0" fontId="28" fillId="5" borderId="2" xfId="0" applyFont="1" applyFill="1" applyBorder="1" applyAlignment="1">
      <alignment horizontal="center" vertical="center" wrapText="1" readingOrder="1"/>
    </xf>
    <xf numFmtId="0" fontId="28" fillId="7" borderId="1"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xf numFmtId="0" fontId="28" fillId="8" borderId="1" xfId="0" applyFont="1" applyFill="1" applyBorder="1" applyAlignment="1">
      <alignment horizontal="center" vertical="center" wrapText="1" readingOrder="1"/>
    </xf>
    <xf numFmtId="0" fontId="29" fillId="9" borderId="1" xfId="0" applyFont="1" applyFill="1" applyBorder="1" applyAlignment="1">
      <alignment horizontal="center" vertical="center" wrapText="1" readingOrder="1"/>
    </xf>
    <xf numFmtId="0" fontId="28" fillId="0" borderId="2"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0" fontId="15" fillId="11" borderId="3" xfId="0" applyFont="1" applyFill="1" applyBorder="1" applyAlignment="1" applyProtection="1">
      <alignment horizontal="center" vertical="center" wrapText="1" readingOrder="1"/>
      <protection hidden="1"/>
    </xf>
    <xf numFmtId="0" fontId="15" fillId="11" borderId="10" xfId="0" applyFont="1" applyFill="1" applyBorder="1" applyAlignment="1" applyProtection="1">
      <alignment horizontal="center" vertical="center" wrapText="1" readingOrder="1"/>
      <protection hidden="1"/>
    </xf>
    <xf numFmtId="0" fontId="15" fillId="11" borderId="4" xfId="0" applyFont="1" applyFill="1" applyBorder="1" applyAlignment="1" applyProtection="1">
      <alignment horizontal="center" vertical="center" wrapText="1" readingOrder="1"/>
      <protection hidden="1"/>
    </xf>
    <xf numFmtId="0" fontId="15" fillId="12" borderId="3" xfId="0" applyFont="1" applyFill="1" applyBorder="1" applyAlignment="1" applyProtection="1">
      <alignment horizontal="center" wrapText="1" readingOrder="1"/>
      <protection hidden="1"/>
    </xf>
    <xf numFmtId="0" fontId="15" fillId="12" borderId="10" xfId="0" applyFont="1" applyFill="1" applyBorder="1" applyAlignment="1" applyProtection="1">
      <alignment horizontal="center" wrapText="1" readingOrder="1"/>
      <protection hidden="1"/>
    </xf>
    <xf numFmtId="0" fontId="15" fillId="12" borderId="4" xfId="0" applyFont="1" applyFill="1" applyBorder="1" applyAlignment="1" applyProtection="1">
      <alignment horizontal="center" wrapText="1" readingOrder="1"/>
      <protection hidden="1"/>
    </xf>
    <xf numFmtId="0" fontId="15" fillId="11" borderId="5" xfId="0" applyFont="1" applyFill="1" applyBorder="1" applyAlignment="1" applyProtection="1">
      <alignment horizontal="center" vertical="center" wrapText="1" readingOrder="1"/>
      <protection hidden="1"/>
    </xf>
    <xf numFmtId="0" fontId="15" fillId="11" borderId="0" xfId="0" applyFont="1" applyFill="1" applyBorder="1" applyAlignment="1" applyProtection="1">
      <alignment horizontal="center" vertical="center" wrapText="1" readingOrder="1"/>
      <protection hidden="1"/>
    </xf>
    <xf numFmtId="0" fontId="15" fillId="11" borderId="6" xfId="0" applyFont="1" applyFill="1" applyBorder="1" applyAlignment="1" applyProtection="1">
      <alignment horizontal="center" vertical="center" wrapText="1" readingOrder="1"/>
      <protection hidden="1"/>
    </xf>
    <xf numFmtId="0" fontId="15" fillId="12" borderId="5" xfId="0" applyFont="1" applyFill="1" applyBorder="1" applyAlignment="1" applyProtection="1">
      <alignment horizontal="center" wrapText="1" readingOrder="1"/>
      <protection hidden="1"/>
    </xf>
    <xf numFmtId="0" fontId="15" fillId="12" borderId="0" xfId="0" applyFont="1" applyFill="1" applyBorder="1" applyAlignment="1" applyProtection="1">
      <alignment horizontal="center" wrapText="1" readingOrder="1"/>
      <protection hidden="1"/>
    </xf>
    <xf numFmtId="0" fontId="15" fillId="12" borderId="6" xfId="0" applyFont="1" applyFill="1" applyBorder="1" applyAlignment="1" applyProtection="1">
      <alignment horizontal="center" wrapText="1" readingOrder="1"/>
      <protection hidden="1"/>
    </xf>
    <xf numFmtId="0" fontId="15" fillId="11" borderId="0" xfId="0" applyFont="1" applyFill="1" applyAlignment="1" applyProtection="1">
      <alignment horizontal="center" vertical="center" wrapText="1" readingOrder="1"/>
      <protection hidden="1"/>
    </xf>
    <xf numFmtId="0" fontId="15" fillId="11" borderId="7" xfId="0" applyFont="1" applyFill="1" applyBorder="1" applyAlignment="1" applyProtection="1">
      <alignment horizontal="center" vertical="center" wrapText="1" readingOrder="1"/>
      <protection hidden="1"/>
    </xf>
    <xf numFmtId="0" fontId="15" fillId="11" borderId="9" xfId="0" applyFont="1" applyFill="1" applyBorder="1" applyAlignment="1" applyProtection="1">
      <alignment horizontal="center" vertical="center" wrapText="1" readingOrder="1"/>
      <protection hidden="1"/>
    </xf>
    <xf numFmtId="0" fontId="15" fillId="11" borderId="8" xfId="0" applyFont="1" applyFill="1" applyBorder="1" applyAlignment="1" applyProtection="1">
      <alignment horizontal="center" vertical="center" wrapText="1" readingOrder="1"/>
      <protection hidden="1"/>
    </xf>
    <xf numFmtId="0" fontId="15" fillId="12" borderId="7" xfId="0" applyFont="1" applyFill="1" applyBorder="1" applyAlignment="1" applyProtection="1">
      <alignment horizontal="center" wrapText="1" readingOrder="1"/>
      <protection hidden="1"/>
    </xf>
    <xf numFmtId="0" fontId="15" fillId="12" borderId="9" xfId="0" applyFont="1" applyFill="1" applyBorder="1" applyAlignment="1" applyProtection="1">
      <alignment horizontal="center" wrapText="1" readingOrder="1"/>
      <protection hidden="1"/>
    </xf>
    <xf numFmtId="0" fontId="15" fillId="12" borderId="8" xfId="0" applyFont="1" applyFill="1" applyBorder="1" applyAlignment="1" applyProtection="1">
      <alignment horizontal="center" wrapText="1" readingOrder="1"/>
      <protection hidden="1"/>
    </xf>
    <xf numFmtId="0" fontId="15" fillId="13" borderId="3" xfId="0" applyFont="1" applyFill="1" applyBorder="1" applyAlignment="1" applyProtection="1">
      <alignment horizontal="center" wrapText="1" readingOrder="1"/>
      <protection hidden="1"/>
    </xf>
    <xf numFmtId="0" fontId="15" fillId="13" borderId="10" xfId="0" applyFont="1" applyFill="1" applyBorder="1" applyAlignment="1" applyProtection="1">
      <alignment horizontal="center" wrapText="1" readingOrder="1"/>
      <protection hidden="1"/>
    </xf>
    <xf numFmtId="0" fontId="15" fillId="13" borderId="4" xfId="0" applyFont="1" applyFill="1" applyBorder="1" applyAlignment="1" applyProtection="1">
      <alignment horizontal="center" wrapText="1" readingOrder="1"/>
      <protection hidden="1"/>
    </xf>
    <xf numFmtId="0" fontId="15" fillId="13" borderId="5" xfId="0" applyFont="1" applyFill="1" applyBorder="1" applyAlignment="1" applyProtection="1">
      <alignment horizontal="center" wrapText="1" readingOrder="1"/>
      <protection hidden="1"/>
    </xf>
    <xf numFmtId="0" fontId="15" fillId="13" borderId="0" xfId="0" applyFont="1" applyFill="1" applyBorder="1" applyAlignment="1" applyProtection="1">
      <alignment horizontal="center" wrapText="1" readingOrder="1"/>
      <protection hidden="1"/>
    </xf>
    <xf numFmtId="0" fontId="15" fillId="13" borderId="6" xfId="0" applyFont="1" applyFill="1" applyBorder="1" applyAlignment="1" applyProtection="1">
      <alignment horizontal="center" wrapText="1" readingOrder="1"/>
      <protection hidden="1"/>
    </xf>
    <xf numFmtId="0" fontId="15" fillId="13" borderId="7" xfId="0" applyFont="1" applyFill="1" applyBorder="1" applyAlignment="1" applyProtection="1">
      <alignment horizontal="center" wrapText="1" readingOrder="1"/>
      <protection hidden="1"/>
    </xf>
    <xf numFmtId="0" fontId="15" fillId="13" borderId="9" xfId="0" applyFont="1" applyFill="1" applyBorder="1" applyAlignment="1" applyProtection="1">
      <alignment horizontal="center" wrapText="1" readingOrder="1"/>
      <protection hidden="1"/>
    </xf>
    <xf numFmtId="0" fontId="15" fillId="13" borderId="8" xfId="0" applyFont="1" applyFill="1" applyBorder="1" applyAlignment="1" applyProtection="1">
      <alignment horizontal="center" wrapText="1" readingOrder="1"/>
      <protection hidden="1"/>
    </xf>
    <xf numFmtId="0" fontId="15" fillId="5" borderId="3" xfId="0" applyFont="1" applyFill="1" applyBorder="1" applyAlignment="1" applyProtection="1">
      <alignment horizontal="center" wrapText="1" readingOrder="1"/>
      <protection hidden="1"/>
    </xf>
    <xf numFmtId="0" fontId="15" fillId="5" borderId="10" xfId="0" applyFont="1" applyFill="1" applyBorder="1" applyAlignment="1" applyProtection="1">
      <alignment horizontal="center" wrapText="1" readingOrder="1"/>
      <protection hidden="1"/>
    </xf>
    <xf numFmtId="0" fontId="15" fillId="5" borderId="4" xfId="0" applyFont="1" applyFill="1" applyBorder="1" applyAlignment="1" applyProtection="1">
      <alignment horizontal="center" wrapText="1" readingOrder="1"/>
      <protection hidden="1"/>
    </xf>
    <xf numFmtId="0" fontId="15" fillId="5" borderId="5" xfId="0" applyFont="1" applyFill="1" applyBorder="1" applyAlignment="1" applyProtection="1">
      <alignment horizontal="center" wrapText="1" readingOrder="1"/>
      <protection hidden="1"/>
    </xf>
    <xf numFmtId="0" fontId="15" fillId="5" borderId="0" xfId="0" applyFont="1" applyFill="1" applyBorder="1" applyAlignment="1" applyProtection="1">
      <alignment horizontal="center" wrapText="1" readingOrder="1"/>
      <protection hidden="1"/>
    </xf>
    <xf numFmtId="0" fontId="15" fillId="5" borderId="6" xfId="0" applyFont="1" applyFill="1" applyBorder="1" applyAlignment="1" applyProtection="1">
      <alignment horizontal="center" wrapText="1" readingOrder="1"/>
      <protection hidden="1"/>
    </xf>
    <xf numFmtId="0" fontId="15" fillId="5" borderId="7" xfId="0" applyFont="1" applyFill="1" applyBorder="1" applyAlignment="1" applyProtection="1">
      <alignment horizontal="center" wrapText="1" readingOrder="1"/>
      <protection hidden="1"/>
    </xf>
    <xf numFmtId="0" fontId="15" fillId="5" borderId="9" xfId="0" applyFont="1" applyFill="1" applyBorder="1" applyAlignment="1" applyProtection="1">
      <alignment horizontal="center" wrapText="1" readingOrder="1"/>
      <protection hidden="1"/>
    </xf>
    <xf numFmtId="0" fontId="15" fillId="5" borderId="8" xfId="0" applyFont="1" applyFill="1" applyBorder="1" applyAlignment="1" applyProtection="1">
      <alignment horizontal="center" wrapText="1" readingOrder="1"/>
      <protection hidden="1"/>
    </xf>
    <xf numFmtId="0" fontId="19" fillId="13" borderId="10" xfId="0" applyFont="1" applyFill="1" applyBorder="1" applyAlignment="1" applyProtection="1">
      <alignment horizontal="center" wrapText="1" readingOrder="1"/>
      <protection hidden="1"/>
    </xf>
    <xf numFmtId="0" fontId="0" fillId="3" borderId="0" xfId="0" applyFill="1"/>
    <xf numFmtId="0" fontId="12" fillId="3" borderId="0" xfId="0" applyFont="1" applyFill="1" applyAlignment="1">
      <alignment vertical="center"/>
    </xf>
    <xf numFmtId="0" fontId="3" fillId="3" borderId="0" xfId="0" applyFont="1" applyFill="1"/>
    <xf numFmtId="0" fontId="31" fillId="3" borderId="0" xfId="0" applyFont="1" applyFill="1"/>
    <xf numFmtId="0" fontId="33" fillId="3" borderId="19" xfId="0" applyFont="1" applyFill="1" applyBorder="1" applyAlignment="1">
      <alignment horizontal="justify" vertical="center" wrapText="1" readingOrder="1"/>
    </xf>
    <xf numFmtId="9" fontId="32" fillId="3" borderId="23" xfId="0" applyNumberFormat="1"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5" xfId="0" applyFont="1" applyFill="1" applyBorder="1" applyAlignment="1">
      <alignment horizontal="justify" vertical="center" wrapText="1" readingOrder="1"/>
    </xf>
    <xf numFmtId="0" fontId="33" fillId="3" borderId="26" xfId="0" applyFont="1" applyFill="1" applyBorder="1" applyAlignment="1">
      <alignment horizontal="center" vertical="center" wrapText="1" readingOrder="1"/>
    </xf>
    <xf numFmtId="0" fontId="9" fillId="3" borderId="0" xfId="0" applyFont="1" applyFill="1"/>
    <xf numFmtId="0" fontId="26" fillId="3" borderId="0" xfId="0" applyFont="1" applyFill="1" applyAlignment="1">
      <alignment horizontal="center" vertical="center" wrapText="1"/>
    </xf>
    <xf numFmtId="0" fontId="8" fillId="3" borderId="0" xfId="0" applyFont="1" applyFill="1" applyBorder="1" applyAlignment="1">
      <alignment horizontal="justify" vertical="center" wrapText="1" readingOrder="1"/>
    </xf>
    <xf numFmtId="0" fontId="2" fillId="3" borderId="0" xfId="0" applyFont="1" applyFill="1" applyAlignment="1">
      <alignment vertical="center"/>
    </xf>
    <xf numFmtId="0" fontId="11" fillId="3" borderId="0" xfId="0" applyFont="1" applyFill="1"/>
    <xf numFmtId="0" fontId="2" fillId="3" borderId="0" xfId="0" applyFont="1" applyFill="1" applyAlignment="1">
      <alignment horizontal="left" vertical="center"/>
    </xf>
    <xf numFmtId="0" fontId="3" fillId="3" borderId="19" xfId="0" applyFont="1" applyFill="1" applyBorder="1"/>
    <xf numFmtId="0" fontId="3" fillId="3" borderId="23" xfId="0" applyFont="1" applyFill="1" applyBorder="1"/>
    <xf numFmtId="0" fontId="3" fillId="3" borderId="25" xfId="0" applyFont="1" applyFill="1" applyBorder="1"/>
    <xf numFmtId="0" fontId="3" fillId="3" borderId="26" xfId="0" applyFont="1" applyFill="1" applyBorder="1"/>
    <xf numFmtId="0" fontId="44" fillId="3" borderId="19" xfId="0" applyFont="1" applyFill="1" applyBorder="1" applyAlignment="1">
      <alignment horizontal="center" vertical="center" wrapText="1"/>
    </xf>
    <xf numFmtId="0" fontId="44" fillId="3" borderId="25"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3" fillId="3" borderId="0" xfId="0" applyFont="1" applyFill="1" applyBorder="1"/>
    <xf numFmtId="0" fontId="0" fillId="0" borderId="19" xfId="0" applyBorder="1"/>
    <xf numFmtId="0" fontId="0" fillId="0" borderId="29" xfId="0" applyBorder="1"/>
    <xf numFmtId="0" fontId="3" fillId="3" borderId="30" xfId="0" applyFont="1" applyFill="1" applyBorder="1"/>
    <xf numFmtId="0" fontId="30" fillId="3" borderId="23" xfId="0" applyFont="1" applyFill="1" applyBorder="1" applyAlignment="1">
      <alignment horizontal="justify" vertical="center" wrapText="1"/>
    </xf>
    <xf numFmtId="0" fontId="0" fillId="0" borderId="25" xfId="0" applyBorder="1"/>
    <xf numFmtId="0" fontId="44" fillId="3" borderId="29" xfId="0" applyFont="1" applyFill="1" applyBorder="1" applyAlignment="1">
      <alignment horizontal="center" vertical="center" wrapText="1"/>
    </xf>
    <xf numFmtId="0" fontId="3" fillId="3" borderId="29" xfId="0" applyFont="1" applyFill="1" applyBorder="1"/>
    <xf numFmtId="0" fontId="45" fillId="3" borderId="29" xfId="0" applyFont="1" applyFill="1" applyBorder="1"/>
    <xf numFmtId="0" fontId="0" fillId="15" borderId="19" xfId="0" applyFill="1" applyBorder="1"/>
    <xf numFmtId="0" fontId="32" fillId="14" borderId="33" xfId="0" applyFont="1" applyFill="1" applyBorder="1" applyAlignment="1">
      <alignment horizontal="center" vertical="center" wrapText="1" readingOrder="1"/>
    </xf>
    <xf numFmtId="0" fontId="33" fillId="3" borderId="29" xfId="0" applyFont="1" applyFill="1" applyBorder="1" applyAlignment="1">
      <alignment horizontal="justify" vertical="center" wrapText="1" readingOrder="1"/>
    </xf>
    <xf numFmtId="9" fontId="32" fillId="3" borderId="30" xfId="0" applyNumberFormat="1" applyFont="1" applyFill="1" applyBorder="1" applyAlignment="1">
      <alignment horizontal="center" vertical="center" wrapText="1" readingOrder="1"/>
    </xf>
    <xf numFmtId="9" fontId="32" fillId="3" borderId="26" xfId="0" applyNumberFormat="1" applyFont="1" applyFill="1" applyBorder="1" applyAlignment="1">
      <alignment horizontal="center" vertical="center" wrapText="1" readingOrder="1"/>
    </xf>
    <xf numFmtId="0" fontId="33" fillId="3" borderId="30" xfId="0" applyFont="1" applyFill="1" applyBorder="1" applyAlignment="1">
      <alignment horizontal="center" vertical="center" wrapText="1" readingOrder="1"/>
    </xf>
    <xf numFmtId="0" fontId="0" fillId="0" borderId="25" xfId="0" applyFill="1" applyBorder="1"/>
    <xf numFmtId="0" fontId="0" fillId="0" borderId="35" xfId="0" applyBorder="1"/>
    <xf numFmtId="0" fontId="0" fillId="0" borderId="35" xfId="0" applyFill="1" applyBorder="1"/>
    <xf numFmtId="0" fontId="3" fillId="3" borderId="36" xfId="0" applyFont="1" applyFill="1" applyBorder="1"/>
    <xf numFmtId="0" fontId="0" fillId="0" borderId="19" xfId="0" applyFill="1" applyBorder="1"/>
    <xf numFmtId="0" fontId="0" fillId="0" borderId="19" xfId="0" applyBorder="1" applyAlignment="1">
      <alignment wrapText="1"/>
    </xf>
    <xf numFmtId="0" fontId="0" fillId="0" borderId="29" xfId="0" applyFill="1" applyBorder="1"/>
    <xf numFmtId="0" fontId="41" fillId="3" borderId="0" xfId="0" applyFont="1" applyFill="1" applyBorder="1" applyAlignment="1">
      <alignment horizontal="center" vertical="center"/>
    </xf>
    <xf numFmtId="0" fontId="0" fillId="0" borderId="0" xfId="0" applyFill="1" applyBorder="1"/>
    <xf numFmtId="0" fontId="0" fillId="0" borderId="0" xfId="0" applyBorder="1"/>
    <xf numFmtId="0" fontId="0" fillId="0" borderId="30" xfId="0" applyFill="1" applyBorder="1"/>
    <xf numFmtId="0" fontId="0" fillId="0" borderId="26" xfId="0" applyFill="1" applyBorder="1"/>
    <xf numFmtId="0" fontId="0" fillId="0" borderId="39" xfId="0" applyFill="1" applyBorder="1"/>
    <xf numFmtId="0" fontId="0" fillId="0" borderId="39" xfId="0" applyBorder="1"/>
    <xf numFmtId="0" fontId="0" fillId="0" borderId="40" xfId="0" applyFill="1" applyBorder="1"/>
    <xf numFmtId="0" fontId="49" fillId="3" borderId="0" xfId="0" applyFont="1" applyFill="1"/>
    <xf numFmtId="0" fontId="49" fillId="0" borderId="0" xfId="0" applyFont="1"/>
    <xf numFmtId="0" fontId="48" fillId="3" borderId="0" xfId="0" applyFont="1" applyFill="1" applyAlignment="1">
      <alignment horizontal="center" vertical="center"/>
    </xf>
    <xf numFmtId="0" fontId="48" fillId="2" borderId="0" xfId="0" applyFont="1" applyFill="1" applyAlignment="1">
      <alignment horizontal="center" vertical="center"/>
    </xf>
    <xf numFmtId="0" fontId="49" fillId="0" borderId="0" xfId="0" applyFont="1" applyAlignment="1">
      <alignment horizontal="center" vertical="center"/>
    </xf>
    <xf numFmtId="0" fontId="49" fillId="0" borderId="0" xfId="0" applyFont="1" applyAlignment="1">
      <alignment horizontal="center" vertical="center" wrapText="1"/>
    </xf>
    <xf numFmtId="0" fontId="49" fillId="0" borderId="0" xfId="0" applyFont="1" applyAlignment="1">
      <alignment horizontal="center"/>
    </xf>
    <xf numFmtId="0" fontId="49" fillId="0" borderId="0" xfId="0" applyFont="1" applyAlignment="1">
      <alignment wrapText="1"/>
    </xf>
    <xf numFmtId="0" fontId="49" fillId="3" borderId="0" xfId="0" applyFont="1" applyFill="1" applyAlignment="1">
      <alignment horizontal="left" vertical="center"/>
    </xf>
    <xf numFmtId="0" fontId="49" fillId="0" borderId="0" xfId="0" applyFont="1" applyAlignment="1">
      <alignment horizontal="left" vertical="center"/>
    </xf>
    <xf numFmtId="0" fontId="45" fillId="3" borderId="42" xfId="0" applyFont="1" applyFill="1" applyBorder="1"/>
    <xf numFmtId="0" fontId="3" fillId="3" borderId="42" xfId="0" applyFont="1" applyFill="1" applyBorder="1"/>
    <xf numFmtId="0" fontId="3" fillId="3" borderId="43" xfId="0" applyFont="1" applyFill="1" applyBorder="1"/>
    <xf numFmtId="0" fontId="32" fillId="14" borderId="31" xfId="0" applyFont="1" applyFill="1" applyBorder="1" applyAlignment="1">
      <alignment horizontal="center" vertical="center" wrapText="1" readingOrder="1"/>
    </xf>
    <xf numFmtId="0" fontId="32" fillId="3" borderId="29" xfId="0" applyFont="1" applyFill="1" applyBorder="1" applyAlignment="1">
      <alignment horizontal="center" vertical="center" wrapText="1" readingOrder="1"/>
    </xf>
    <xf numFmtId="0" fontId="32" fillId="3" borderId="19" xfId="0" applyFont="1" applyFill="1" applyBorder="1" applyAlignment="1">
      <alignment horizontal="center" vertical="center" wrapText="1" readingOrder="1"/>
    </xf>
    <xf numFmtId="0" fontId="32" fillId="3" borderId="25" xfId="0" applyFont="1" applyFill="1" applyBorder="1" applyAlignment="1">
      <alignment horizontal="center" vertical="center" wrapText="1" readingOrder="1"/>
    </xf>
    <xf numFmtId="0" fontId="49" fillId="0" borderId="0" xfId="0" applyFont="1" applyFill="1"/>
    <xf numFmtId="0" fontId="48" fillId="0" borderId="0" xfId="0" applyFont="1" applyFill="1" applyAlignment="1">
      <alignment horizontal="center" vertical="center"/>
    </xf>
    <xf numFmtId="0" fontId="48" fillId="2" borderId="44" xfId="0" applyFont="1" applyFill="1" applyBorder="1" applyAlignment="1">
      <alignment horizontal="center" vertical="center" wrapText="1"/>
    </xf>
    <xf numFmtId="0" fontId="48" fillId="2" borderId="21" xfId="0" applyFont="1" applyFill="1" applyBorder="1" applyAlignment="1">
      <alignment horizontal="center" vertical="center" wrapText="1"/>
    </xf>
    <xf numFmtId="0" fontId="48" fillId="2" borderId="45" xfId="0" applyFont="1" applyFill="1" applyBorder="1" applyAlignment="1">
      <alignment horizontal="center" vertical="center" wrapText="1"/>
    </xf>
    <xf numFmtId="0" fontId="48" fillId="2" borderId="44" xfId="0" applyFont="1" applyFill="1" applyBorder="1" applyAlignment="1">
      <alignment horizontal="center" vertical="center" textRotation="90" wrapText="1"/>
    </xf>
    <xf numFmtId="0" fontId="48" fillId="2" borderId="46" xfId="0" applyFont="1" applyFill="1" applyBorder="1" applyAlignment="1">
      <alignment horizontal="center" vertical="center" wrapText="1"/>
    </xf>
    <xf numFmtId="0" fontId="48" fillId="2" borderId="27" xfId="0" applyFont="1" applyFill="1" applyBorder="1" applyAlignment="1">
      <alignment horizontal="center" vertical="center" wrapText="1"/>
    </xf>
    <xf numFmtId="0" fontId="48" fillId="2" borderId="20" xfId="0" applyFont="1" applyFill="1" applyBorder="1" applyAlignment="1">
      <alignment horizontal="center" vertical="center" wrapText="1"/>
    </xf>
    <xf numFmtId="0" fontId="49" fillId="3" borderId="0" xfId="0" applyFont="1" applyFill="1" applyBorder="1"/>
    <xf numFmtId="0" fontId="48" fillId="3" borderId="0" xfId="0" applyFont="1" applyFill="1" applyBorder="1" applyAlignment="1">
      <alignment horizontal="center" vertical="center"/>
    </xf>
    <xf numFmtId="0" fontId="48" fillId="2" borderId="44" xfId="0" applyFont="1" applyFill="1" applyBorder="1" applyAlignment="1">
      <alignment horizontal="center" vertical="center"/>
    </xf>
    <xf numFmtId="9" fontId="49" fillId="0" borderId="50" xfId="0" applyNumberFormat="1" applyFont="1" applyBorder="1" applyAlignment="1" applyProtection="1">
      <alignment horizontal="center" vertical="center" wrapText="1"/>
      <protection hidden="1"/>
    </xf>
    <xf numFmtId="9" fontId="49" fillId="0" borderId="47" xfId="0" applyNumberFormat="1" applyFont="1" applyBorder="1" applyAlignment="1" applyProtection="1">
      <alignment horizontal="left" vertical="center" wrapText="1"/>
      <protection hidden="1"/>
    </xf>
    <xf numFmtId="0" fontId="49" fillId="0" borderId="58" xfId="0" applyFont="1" applyBorder="1" applyAlignment="1" applyProtection="1">
      <alignment horizontal="left" vertical="center"/>
      <protection locked="0"/>
    </xf>
    <xf numFmtId="0" fontId="49" fillId="0" borderId="58"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55" xfId="0" applyFont="1" applyBorder="1" applyAlignment="1" applyProtection="1">
      <alignment horizontal="left" vertical="center"/>
      <protection locked="0"/>
    </xf>
    <xf numFmtId="0" fontId="49" fillId="0" borderId="5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44" xfId="0" applyFont="1" applyBorder="1" applyAlignment="1" applyProtection="1">
      <alignment horizontal="left" vertical="center"/>
      <protection locked="0"/>
    </xf>
    <xf numFmtId="0" fontId="49" fillId="0" borderId="44" xfId="0" applyFont="1" applyBorder="1" applyAlignment="1" applyProtection="1">
      <alignment horizontal="left" vertical="center" wrapText="1"/>
      <protection locked="0"/>
    </xf>
    <xf numFmtId="0" fontId="49" fillId="0" borderId="21" xfId="0" applyFont="1" applyBorder="1" applyAlignment="1" applyProtection="1">
      <alignment horizontal="left" vertical="center" wrapText="1"/>
      <protection locked="0"/>
    </xf>
    <xf numFmtId="0" fontId="49" fillId="0" borderId="27" xfId="0" applyFont="1" applyBorder="1" applyAlignment="1" applyProtection="1">
      <alignment horizontal="left" vertical="center" wrapText="1"/>
      <protection locked="0"/>
    </xf>
    <xf numFmtId="9" fontId="49" fillId="0" borderId="58" xfId="0" applyNumberFormat="1" applyFont="1" applyBorder="1" applyAlignment="1" applyProtection="1">
      <alignment horizontal="left" vertical="center" wrapText="1"/>
      <protection locked="0"/>
    </xf>
    <xf numFmtId="9" fontId="49" fillId="0" borderId="55" xfId="0" applyNumberFormat="1" applyFont="1" applyBorder="1" applyAlignment="1" applyProtection="1">
      <alignment horizontal="left" vertical="center" wrapText="1"/>
      <protection locked="0"/>
    </xf>
    <xf numFmtId="9" fontId="49" fillId="0" borderId="44" xfId="0" applyNumberFormat="1" applyFont="1" applyBorder="1" applyAlignment="1" applyProtection="1">
      <alignment horizontal="left" vertical="center" wrapText="1"/>
      <protection locked="0"/>
    </xf>
    <xf numFmtId="164" fontId="49" fillId="0" borderId="44" xfId="1" applyNumberFormat="1" applyFont="1" applyBorder="1" applyAlignment="1" applyProtection="1">
      <alignment horizontal="left" vertical="center" wrapText="1"/>
      <protection locked="0"/>
    </xf>
    <xf numFmtId="0" fontId="49" fillId="0" borderId="0" xfId="0" applyFont="1" applyBorder="1"/>
    <xf numFmtId="164" fontId="49" fillId="0" borderId="9" xfId="1" applyNumberFormat="1" applyFont="1" applyBorder="1" applyAlignment="1" applyProtection="1">
      <alignment horizontal="left" vertical="center" wrapText="1"/>
      <protection locked="0"/>
    </xf>
    <xf numFmtId="164" fontId="49" fillId="0" borderId="0" xfId="1" applyNumberFormat="1" applyFont="1" applyBorder="1" applyAlignment="1" applyProtection="1">
      <alignment horizontal="left" vertical="center" wrapText="1"/>
      <protection locked="0"/>
    </xf>
    <xf numFmtId="0" fontId="49" fillId="0" borderId="0" xfId="0" applyFont="1" applyBorder="1" applyAlignment="1">
      <alignment horizontal="left" vertical="center"/>
    </xf>
    <xf numFmtId="164" fontId="49" fillId="0" borderId="20" xfId="1" applyNumberFormat="1" applyFont="1" applyBorder="1" applyAlignment="1" applyProtection="1">
      <alignment horizontal="left" vertical="center" wrapText="1"/>
      <protection locked="0"/>
    </xf>
    <xf numFmtId="0" fontId="49" fillId="0" borderId="63" xfId="0" applyFont="1" applyBorder="1" applyAlignment="1" applyProtection="1">
      <alignment horizontal="left" vertical="center" wrapText="1"/>
      <protection locked="0"/>
    </xf>
    <xf numFmtId="0" fontId="49" fillId="0" borderId="63"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9" fontId="49" fillId="0" borderId="63" xfId="0" applyNumberFormat="1" applyFont="1" applyBorder="1" applyAlignment="1" applyProtection="1">
      <alignment horizontal="left" vertical="center" wrapText="1"/>
      <protection locked="0"/>
    </xf>
    <xf numFmtId="0" fontId="49" fillId="0" borderId="0" xfId="0" applyFont="1" applyFill="1" applyBorder="1" applyAlignment="1" applyProtection="1">
      <alignment horizontal="left" vertical="center" wrapText="1"/>
      <protection locked="0"/>
    </xf>
    <xf numFmtId="0" fontId="49" fillId="0" borderId="44" xfId="0" applyFont="1" applyFill="1" applyBorder="1" applyAlignment="1" applyProtection="1">
      <alignment horizontal="left" vertical="center" wrapText="1"/>
      <protection locked="0"/>
    </xf>
    <xf numFmtId="0" fontId="49" fillId="3" borderId="0" xfId="0" applyFont="1" applyFill="1" applyBorder="1" applyAlignment="1">
      <alignment horizontal="left" vertical="center"/>
    </xf>
    <xf numFmtId="164" fontId="49" fillId="0" borderId="58" xfId="1" applyNumberFormat="1" applyFont="1" applyBorder="1" applyAlignment="1" applyProtection="1">
      <alignment horizontal="left" vertical="center" wrapText="1"/>
      <protection locked="0"/>
    </xf>
    <xf numFmtId="0" fontId="49" fillId="0" borderId="20" xfId="0" applyFont="1" applyBorder="1" applyAlignment="1" applyProtection="1">
      <alignment horizontal="left" vertical="center" wrapText="1"/>
      <protection locked="0"/>
    </xf>
    <xf numFmtId="0" fontId="49" fillId="0" borderId="8" xfId="0" applyFont="1" applyBorder="1" applyAlignment="1" applyProtection="1">
      <alignment horizontal="left" vertical="center" wrapText="1"/>
      <protection locked="0"/>
    </xf>
    <xf numFmtId="0" fontId="49" fillId="0" borderId="44" xfId="0" applyFont="1" applyBorder="1" applyAlignment="1" applyProtection="1">
      <alignment horizontal="center" vertical="center"/>
      <protection locked="0"/>
    </xf>
    <xf numFmtId="0" fontId="49" fillId="0" borderId="55" xfId="0" applyFont="1" applyBorder="1" applyAlignment="1" applyProtection="1">
      <alignment horizontal="center" vertical="center"/>
      <protection locked="0"/>
    </xf>
    <xf numFmtId="0" fontId="49" fillId="0" borderId="58" xfId="0" applyFont="1" applyBorder="1" applyAlignment="1" applyProtection="1">
      <alignment horizontal="center" vertical="center"/>
      <protection locked="0"/>
    </xf>
    <xf numFmtId="0" fontId="50" fillId="0" borderId="9" xfId="0" applyFont="1" applyBorder="1" applyAlignment="1">
      <alignment vertical="center" wrapText="1"/>
    </xf>
    <xf numFmtId="0" fontId="49" fillId="0" borderId="4" xfId="0" applyFont="1" applyBorder="1" applyAlignment="1" applyProtection="1">
      <alignment horizontal="left" vertical="center" wrapText="1"/>
      <protection locked="0"/>
    </xf>
    <xf numFmtId="0" fontId="49" fillId="0" borderId="63" xfId="0" applyFont="1" applyBorder="1" applyAlignment="1" applyProtection="1">
      <alignment horizontal="center" vertical="center"/>
      <protection locked="0"/>
    </xf>
    <xf numFmtId="0" fontId="49" fillId="0" borderId="6" xfId="0" applyFont="1" applyBorder="1" applyAlignment="1" applyProtection="1">
      <alignment horizontal="left" vertical="center" wrapText="1"/>
      <protection locked="0"/>
    </xf>
    <xf numFmtId="0" fontId="51" fillId="17" borderId="44" xfId="0" applyFont="1" applyFill="1" applyBorder="1" applyAlignment="1">
      <alignment horizontal="center" vertical="center"/>
    </xf>
    <xf numFmtId="0" fontId="51" fillId="17" borderId="20" xfId="0" applyFont="1" applyFill="1" applyBorder="1" applyAlignment="1">
      <alignment horizontal="center" vertical="center"/>
    </xf>
    <xf numFmtId="0" fontId="51" fillId="17" borderId="27" xfId="0" applyFont="1" applyFill="1" applyBorder="1" applyAlignment="1">
      <alignment horizontal="center" vertical="center"/>
    </xf>
    <xf numFmtId="0" fontId="51" fillId="18" borderId="44" xfId="0" applyFont="1" applyFill="1" applyBorder="1" applyAlignment="1">
      <alignment horizontal="center" vertical="center"/>
    </xf>
    <xf numFmtId="0" fontId="51" fillId="18" borderId="20" xfId="0" applyFont="1" applyFill="1" applyBorder="1" applyAlignment="1">
      <alignment horizontal="center" vertical="center" wrapText="1"/>
    </xf>
    <xf numFmtId="0" fontId="51" fillId="18" borderId="21" xfId="0" applyFont="1" applyFill="1" applyBorder="1" applyAlignment="1">
      <alignment horizontal="center" vertical="center"/>
    </xf>
    <xf numFmtId="0" fontId="51" fillId="18" borderId="27" xfId="0" applyFont="1" applyFill="1" applyBorder="1" applyAlignment="1">
      <alignment horizontal="center" vertical="center"/>
    </xf>
    <xf numFmtId="0" fontId="51" fillId="7" borderId="44" xfId="0" applyFont="1" applyFill="1" applyBorder="1" applyAlignment="1">
      <alignment vertical="center"/>
    </xf>
    <xf numFmtId="0" fontId="51" fillId="19" borderId="44" xfId="0" applyFont="1" applyFill="1" applyBorder="1" applyAlignment="1">
      <alignment horizontal="center" vertical="center"/>
    </xf>
    <xf numFmtId="9" fontId="49" fillId="0" borderId="44" xfId="0" applyNumberFormat="1" applyFont="1" applyBorder="1" applyAlignment="1" applyProtection="1">
      <alignment horizontal="center" vertical="center"/>
    </xf>
    <xf numFmtId="164" fontId="49" fillId="0" borderId="44" xfId="1" applyNumberFormat="1" applyFont="1" applyBorder="1" applyAlignment="1" applyProtection="1">
      <alignment horizontal="center" vertical="center"/>
    </xf>
    <xf numFmtId="164" fontId="49" fillId="0" borderId="44" xfId="1" applyNumberFormat="1" applyFont="1" applyBorder="1" applyAlignment="1" applyProtection="1">
      <alignment horizontal="center" vertical="center" wrapText="1"/>
      <protection locked="0"/>
    </xf>
    <xf numFmtId="164" fontId="49" fillId="0" borderId="0" xfId="1" applyNumberFormat="1" applyFont="1" applyBorder="1" applyAlignment="1" applyProtection="1">
      <alignment horizontal="center" vertical="center" wrapText="1"/>
      <protection locked="0"/>
    </xf>
    <xf numFmtId="164" fontId="49" fillId="0" borderId="21" xfId="1" applyNumberFormat="1" applyFont="1" applyBorder="1" applyAlignment="1" applyProtection="1">
      <alignment horizontal="center" vertical="center" wrapText="1"/>
      <protection locked="0"/>
    </xf>
    <xf numFmtId="9" fontId="49" fillId="0" borderId="63" xfId="0" applyNumberFormat="1" applyFont="1" applyBorder="1" applyAlignment="1" applyProtection="1">
      <alignment horizontal="center" vertical="center"/>
    </xf>
    <xf numFmtId="164" fontId="49" fillId="0" borderId="0" xfId="1" applyNumberFormat="1" applyFont="1" applyBorder="1" applyAlignment="1" applyProtection="1">
      <alignment horizontal="center" vertical="center"/>
    </xf>
    <xf numFmtId="164" fontId="49" fillId="0" borderId="20" xfId="1" applyNumberFormat="1" applyFont="1" applyBorder="1" applyAlignment="1" applyProtection="1">
      <alignment horizontal="center" vertical="center"/>
    </xf>
    <xf numFmtId="164" fontId="49" fillId="0" borderId="58" xfId="1" applyNumberFormat="1" applyFont="1" applyBorder="1" applyAlignment="1" applyProtection="1">
      <alignment horizontal="center" vertical="center"/>
    </xf>
    <xf numFmtId="9" fontId="49" fillId="0" borderId="58" xfId="0" applyNumberFormat="1" applyFont="1" applyBorder="1" applyAlignment="1" applyProtection="1">
      <alignment horizontal="center" vertical="center"/>
    </xf>
    <xf numFmtId="164" fontId="49" fillId="0" borderId="10" xfId="1" applyNumberFormat="1" applyFont="1" applyBorder="1" applyAlignment="1" applyProtection="1">
      <alignment horizontal="center" vertical="center"/>
    </xf>
    <xf numFmtId="9" fontId="49" fillId="0" borderId="55" xfId="0" applyNumberFormat="1" applyFont="1" applyBorder="1" applyAlignment="1" applyProtection="1">
      <alignment horizontal="center" vertical="center"/>
    </xf>
    <xf numFmtId="164" fontId="49" fillId="0" borderId="9" xfId="1" applyNumberFormat="1" applyFont="1" applyBorder="1" applyAlignment="1" applyProtection="1">
      <alignment horizontal="center" vertical="center"/>
    </xf>
    <xf numFmtId="0" fontId="49" fillId="0" borderId="44" xfId="0" applyFont="1" applyBorder="1" applyAlignment="1" applyProtection="1">
      <alignment horizontal="center" vertical="center" wrapText="1"/>
      <protection locked="0"/>
    </xf>
    <xf numFmtId="0" fontId="49" fillId="0" borderId="58" xfId="0" applyFont="1" applyBorder="1" applyAlignment="1" applyProtection="1">
      <alignment horizontal="center" vertical="center" wrapText="1"/>
      <protection locked="0"/>
    </xf>
    <xf numFmtId="0" fontId="49" fillId="0" borderId="63" xfId="0" applyFont="1" applyBorder="1" applyAlignment="1" applyProtection="1">
      <alignment horizontal="center" vertical="center" wrapText="1"/>
      <protection locked="0"/>
    </xf>
    <xf numFmtId="0" fontId="49" fillId="0" borderId="55" xfId="0" applyFont="1" applyBorder="1" applyAlignment="1" applyProtection="1">
      <alignment horizontal="center" vertical="center" wrapText="1"/>
      <protection locked="0"/>
    </xf>
    <xf numFmtId="9" fontId="49" fillId="0" borderId="63" xfId="0" applyNumberFormat="1" applyFont="1" applyBorder="1" applyAlignment="1" applyProtection="1">
      <alignment horizontal="center" vertical="center" wrapText="1"/>
      <protection hidden="1"/>
    </xf>
    <xf numFmtId="9" fontId="49" fillId="0" borderId="44" xfId="0" applyNumberFormat="1" applyFont="1" applyBorder="1" applyAlignment="1" applyProtection="1">
      <alignment horizontal="center" vertical="center" wrapText="1"/>
      <protection hidden="1"/>
    </xf>
    <xf numFmtId="9" fontId="49" fillId="0" borderId="58" xfId="0" applyNumberFormat="1" applyFont="1" applyBorder="1" applyAlignment="1" applyProtection="1">
      <alignment horizontal="center" vertical="center" wrapText="1"/>
      <protection hidden="1"/>
    </xf>
    <xf numFmtId="9" fontId="49" fillId="0" borderId="55" xfId="0" applyNumberFormat="1" applyFont="1" applyBorder="1" applyAlignment="1" applyProtection="1">
      <alignment horizontal="center" vertical="center" wrapText="1"/>
      <protection hidden="1"/>
    </xf>
    <xf numFmtId="0" fontId="48" fillId="0" borderId="0" xfId="0" applyFont="1" applyFill="1" applyBorder="1" applyAlignment="1" applyProtection="1">
      <alignment horizontal="center" vertical="center" wrapText="1"/>
      <protection hidden="1"/>
    </xf>
    <xf numFmtId="0" fontId="48" fillId="0" borderId="44" xfId="0" applyFont="1" applyFill="1" applyBorder="1" applyAlignment="1" applyProtection="1">
      <alignment horizontal="center" vertical="center" wrapText="1"/>
      <protection hidden="1"/>
    </xf>
    <xf numFmtId="0" fontId="48" fillId="0" borderId="21" xfId="0" applyFont="1" applyFill="1" applyBorder="1" applyAlignment="1" applyProtection="1">
      <alignment horizontal="center" vertical="center" wrapText="1"/>
      <protection hidden="1"/>
    </xf>
    <xf numFmtId="0" fontId="48" fillId="0" borderId="58" xfId="0" applyFont="1" applyFill="1" applyBorder="1" applyAlignment="1" applyProtection="1">
      <alignment horizontal="center" vertical="center" wrapText="1"/>
      <protection hidden="1"/>
    </xf>
    <xf numFmtId="0" fontId="48" fillId="0" borderId="10" xfId="0" applyFont="1" applyFill="1" applyBorder="1" applyAlignment="1" applyProtection="1">
      <alignment horizontal="center" vertical="center" wrapText="1"/>
      <protection hidden="1"/>
    </xf>
    <xf numFmtId="0" fontId="48" fillId="0" borderId="20" xfId="0" applyFont="1" applyFill="1" applyBorder="1" applyAlignment="1" applyProtection="1">
      <alignment horizontal="center" vertical="center" wrapText="1"/>
      <protection hidden="1"/>
    </xf>
    <xf numFmtId="0" fontId="48" fillId="0" borderId="3" xfId="0" applyFont="1" applyFill="1" applyBorder="1" applyAlignment="1" applyProtection="1">
      <alignment horizontal="center" vertical="center" wrapText="1"/>
      <protection hidden="1"/>
    </xf>
    <xf numFmtId="0" fontId="48" fillId="0" borderId="27" xfId="0" applyFont="1" applyFill="1" applyBorder="1" applyAlignment="1" applyProtection="1">
      <alignment horizontal="center" vertical="center" wrapText="1"/>
      <protection hidden="1"/>
    </xf>
    <xf numFmtId="0" fontId="48" fillId="0" borderId="9" xfId="0" applyFont="1" applyFill="1" applyBorder="1" applyAlignment="1" applyProtection="1">
      <alignment horizontal="center" vertical="center" wrapText="1"/>
      <protection hidden="1"/>
    </xf>
    <xf numFmtId="0" fontId="49" fillId="0" borderId="44" xfId="0" applyFont="1" applyBorder="1" applyAlignment="1" applyProtection="1">
      <alignment horizontal="left" vertical="center" wrapText="1" indent="5"/>
      <protection locked="0"/>
    </xf>
    <xf numFmtId="0" fontId="48" fillId="0" borderId="64" xfId="0" applyFont="1" applyFill="1" applyBorder="1" applyAlignment="1" applyProtection="1">
      <alignment horizontal="center" vertical="center" wrapText="1"/>
      <protection hidden="1"/>
    </xf>
    <xf numFmtId="0" fontId="48" fillId="0" borderId="54" xfId="0" applyFont="1" applyFill="1" applyBorder="1" applyAlignment="1" applyProtection="1">
      <alignment horizontal="center" vertical="center" wrapText="1"/>
      <protection hidden="1"/>
    </xf>
    <xf numFmtId="0" fontId="48" fillId="0" borderId="49" xfId="0" applyFont="1" applyFill="1" applyBorder="1" applyAlignment="1" applyProtection="1">
      <alignment horizontal="center" vertical="center" wrapText="1"/>
      <protection hidden="1"/>
    </xf>
    <xf numFmtId="0" fontId="48" fillId="0" borderId="65" xfId="0" applyFont="1" applyFill="1" applyBorder="1" applyAlignment="1" applyProtection="1">
      <alignment horizontal="center" vertical="center" wrapText="1"/>
      <protection hidden="1"/>
    </xf>
    <xf numFmtId="0" fontId="48" fillId="0" borderId="61" xfId="0" applyFont="1" applyFill="1" applyBorder="1" applyAlignment="1" applyProtection="1">
      <alignment horizontal="center" vertical="center" wrapText="1"/>
      <protection hidden="1"/>
    </xf>
    <xf numFmtId="0" fontId="48" fillId="0" borderId="62" xfId="0" applyFont="1" applyFill="1" applyBorder="1" applyAlignment="1" applyProtection="1">
      <alignment horizontal="center" vertical="center" wrapText="1"/>
      <protection hidden="1"/>
    </xf>
    <xf numFmtId="0" fontId="49" fillId="0" borderId="44" xfId="0" applyFont="1" applyBorder="1" applyAlignment="1" applyProtection="1">
      <alignment horizontal="left" vertical="center" indent="1"/>
      <protection locked="0"/>
    </xf>
    <xf numFmtId="0" fontId="49" fillId="0" borderId="21" xfId="0" applyFont="1" applyBorder="1" applyAlignment="1" applyProtection="1">
      <alignment horizontal="left" vertical="center" indent="1"/>
      <protection locked="0"/>
    </xf>
    <xf numFmtId="0" fontId="49" fillId="0" borderId="0" xfId="0" applyFont="1" applyBorder="1" applyAlignment="1" applyProtection="1">
      <alignment horizontal="left" vertical="center" indent="1"/>
      <protection locked="0"/>
    </xf>
    <xf numFmtId="0" fontId="49" fillId="0" borderId="27" xfId="0" applyFont="1" applyBorder="1" applyAlignment="1" applyProtection="1">
      <alignment horizontal="left" vertical="center" indent="1"/>
      <protection locked="0"/>
    </xf>
    <xf numFmtId="0" fontId="49" fillId="0" borderId="10" xfId="0" applyFont="1" applyBorder="1" applyAlignment="1" applyProtection="1">
      <alignment horizontal="left" vertical="center" indent="1"/>
      <protection locked="0"/>
    </xf>
    <xf numFmtId="0" fontId="49" fillId="0" borderId="9" xfId="0" applyFont="1" applyBorder="1" applyAlignment="1" applyProtection="1">
      <alignment horizontal="left" vertical="center" indent="1"/>
      <protection locked="0"/>
    </xf>
    <xf numFmtId="0" fontId="48" fillId="2" borderId="21" xfId="0" applyFont="1" applyFill="1" applyBorder="1" applyAlignment="1">
      <alignment horizontal="left" vertical="center" wrapText="1" indent="1"/>
    </xf>
    <xf numFmtId="14" fontId="49" fillId="0" borderId="44" xfId="0" applyNumberFormat="1" applyFont="1" applyBorder="1" applyAlignment="1" applyProtection="1">
      <alignment horizontal="center" vertical="center"/>
      <protection locked="0"/>
    </xf>
    <xf numFmtId="14" fontId="49" fillId="0" borderId="63" xfId="0" applyNumberFormat="1" applyFont="1" applyBorder="1" applyAlignment="1" applyProtection="1">
      <alignment horizontal="center" vertical="center"/>
      <protection locked="0"/>
    </xf>
    <xf numFmtId="14" fontId="49" fillId="0" borderId="58" xfId="0" applyNumberFormat="1" applyFont="1" applyBorder="1" applyAlignment="1" applyProtection="1">
      <alignment horizontal="center" vertical="center"/>
      <protection locked="0"/>
    </xf>
    <xf numFmtId="14" fontId="49" fillId="0" borderId="55" xfId="0" applyNumberFormat="1" applyFont="1" applyBorder="1" applyAlignment="1" applyProtection="1">
      <alignment horizontal="center" vertical="center"/>
      <protection locked="0"/>
    </xf>
    <xf numFmtId="0" fontId="48" fillId="0" borderId="44" xfId="0" applyFont="1" applyFill="1" applyBorder="1" applyAlignment="1" applyProtection="1">
      <alignment horizontal="left" vertical="center" wrapText="1" indent="1"/>
      <protection hidden="1"/>
    </xf>
    <xf numFmtId="9" fontId="49" fillId="0" borderId="44" xfId="0" applyNumberFormat="1" applyFont="1" applyBorder="1" applyAlignment="1" applyProtection="1">
      <alignment horizontal="center" vertical="center"/>
      <protection hidden="1"/>
    </xf>
    <xf numFmtId="9" fontId="49" fillId="0" borderId="63" xfId="0" applyNumberFormat="1" applyFont="1" applyBorder="1" applyAlignment="1" applyProtection="1">
      <alignment horizontal="center" vertical="center"/>
      <protection hidden="1"/>
    </xf>
    <xf numFmtId="9" fontId="49" fillId="0" borderId="55" xfId="0" applyNumberFormat="1" applyFont="1" applyBorder="1" applyAlignment="1" applyProtection="1">
      <alignment horizontal="center" vertical="center"/>
      <protection hidden="1"/>
    </xf>
    <xf numFmtId="0" fontId="48" fillId="0" borderId="52" xfId="0" applyFont="1" applyFill="1" applyBorder="1" applyAlignment="1" applyProtection="1">
      <alignment horizontal="center" vertical="center" wrapText="1"/>
      <protection hidden="1"/>
    </xf>
    <xf numFmtId="0" fontId="48" fillId="0" borderId="48" xfId="0" applyFont="1" applyFill="1" applyBorder="1" applyAlignment="1" applyProtection="1">
      <alignment horizontal="center" vertical="center" wrapText="1"/>
      <protection hidden="1"/>
    </xf>
    <xf numFmtId="0" fontId="48" fillId="0" borderId="44" xfId="0" applyFont="1" applyBorder="1" applyAlignment="1" applyProtection="1">
      <alignment horizontal="center" vertical="center"/>
      <protection hidden="1"/>
    </xf>
    <xf numFmtId="0" fontId="48" fillId="0" borderId="0" xfId="0" applyFont="1" applyBorder="1" applyAlignment="1" applyProtection="1">
      <alignment horizontal="center" vertical="center"/>
      <protection hidden="1"/>
    </xf>
    <xf numFmtId="0" fontId="48" fillId="0" borderId="21" xfId="0" applyFont="1" applyBorder="1" applyAlignment="1" applyProtection="1">
      <alignment horizontal="center" vertical="center"/>
      <protection hidden="1"/>
    </xf>
    <xf numFmtId="0" fontId="48" fillId="0" borderId="27" xfId="0" applyFont="1" applyBorder="1" applyAlignment="1" applyProtection="1">
      <alignment horizontal="center" vertical="center"/>
      <protection hidden="1"/>
    </xf>
    <xf numFmtId="0" fontId="48" fillId="0" borderId="52" xfId="0" applyFont="1" applyBorder="1" applyAlignment="1" applyProtection="1">
      <alignment horizontal="center" vertical="center"/>
      <protection hidden="1"/>
    </xf>
    <xf numFmtId="0" fontId="48" fillId="0" borderId="48" xfId="0" applyFont="1" applyBorder="1" applyAlignment="1" applyProtection="1">
      <alignment horizontal="center" vertical="center"/>
      <protection hidden="1"/>
    </xf>
    <xf numFmtId="0" fontId="48" fillId="0" borderId="10" xfId="0" applyFont="1" applyBorder="1" applyAlignment="1" applyProtection="1">
      <alignment horizontal="center" vertical="center"/>
      <protection hidden="1"/>
    </xf>
    <xf numFmtId="0" fontId="48" fillId="0" borderId="9" xfId="0" applyFont="1" applyBorder="1" applyAlignment="1" applyProtection="1">
      <alignment horizontal="center" vertical="center"/>
      <protection hidden="1"/>
    </xf>
    <xf numFmtId="9" fontId="49" fillId="0" borderId="0" xfId="0" applyNumberFormat="1" applyFont="1" applyBorder="1" applyAlignment="1" applyProtection="1">
      <alignment horizontal="center" vertical="center"/>
      <protection hidden="1"/>
    </xf>
    <xf numFmtId="9" fontId="49" fillId="0" borderId="20" xfId="0" applyNumberFormat="1" applyFont="1" applyBorder="1" applyAlignment="1" applyProtection="1">
      <alignment horizontal="center" vertical="center"/>
      <protection hidden="1"/>
    </xf>
    <xf numFmtId="0" fontId="51" fillId="7" borderId="44" xfId="0" applyFont="1" applyFill="1" applyBorder="1" applyAlignment="1">
      <alignment horizontal="center" vertical="center" wrapText="1"/>
    </xf>
    <xf numFmtId="164" fontId="49" fillId="0" borderId="44" xfId="1" applyNumberFormat="1" applyFont="1" applyBorder="1" applyAlignment="1" applyProtection="1">
      <alignment horizontal="center" vertical="center"/>
      <protection locked="0"/>
    </xf>
    <xf numFmtId="164" fontId="49" fillId="0" borderId="0" xfId="1" applyNumberFormat="1" applyFont="1" applyBorder="1" applyAlignment="1" applyProtection="1">
      <alignment horizontal="center" vertical="center"/>
      <protection locked="0"/>
    </xf>
    <xf numFmtId="164" fontId="49" fillId="0" borderId="58" xfId="1" applyNumberFormat="1" applyFont="1" applyBorder="1" applyAlignment="1" applyProtection="1">
      <alignment horizontal="center" vertical="center"/>
      <protection locked="0"/>
    </xf>
    <xf numFmtId="164" fontId="49" fillId="0" borderId="27" xfId="1" applyNumberFormat="1" applyFont="1" applyBorder="1" applyAlignment="1" applyProtection="1">
      <alignment horizontal="center" vertical="center"/>
      <protection locked="0"/>
    </xf>
    <xf numFmtId="164" fontId="49" fillId="0" borderId="9" xfId="1" applyNumberFormat="1" applyFont="1" applyBorder="1" applyAlignment="1" applyProtection="1">
      <alignment horizontal="center" vertical="center"/>
      <protection locked="0"/>
    </xf>
    <xf numFmtId="14" fontId="49" fillId="0" borderId="44" xfId="0" applyNumberFormat="1" applyFont="1" applyBorder="1" applyAlignment="1" applyProtection="1">
      <alignment horizontal="center" vertical="center" wrapText="1"/>
      <protection locked="0"/>
    </xf>
    <xf numFmtId="164" fontId="49" fillId="0" borderId="58" xfId="1" applyNumberFormat="1" applyFont="1" applyBorder="1" applyAlignment="1" applyProtection="1">
      <alignment horizontal="center" vertical="center" wrapText="1"/>
      <protection locked="0"/>
    </xf>
    <xf numFmtId="0" fontId="48" fillId="0" borderId="58"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hidden="1"/>
    </xf>
    <xf numFmtId="0" fontId="48" fillId="16" borderId="44" xfId="0" applyFont="1" applyFill="1" applyBorder="1" applyAlignment="1">
      <alignment horizontal="center" vertical="center" wrapText="1"/>
    </xf>
    <xf numFmtId="0" fontId="49" fillId="0" borderId="21" xfId="0" applyFont="1" applyBorder="1" applyAlignment="1" applyProtection="1">
      <alignment horizontal="center" vertical="center" wrapText="1"/>
      <protection locked="0"/>
    </xf>
    <xf numFmtId="0" fontId="49" fillId="0" borderId="10" xfId="0" applyFont="1" applyBorder="1" applyAlignment="1" applyProtection="1">
      <alignment horizontal="center" vertical="center" wrapText="1"/>
      <protection locked="0"/>
    </xf>
    <xf numFmtId="0" fontId="49" fillId="0" borderId="0" xfId="0" applyFont="1" applyBorder="1" applyAlignment="1" applyProtection="1">
      <alignment horizontal="center" vertical="center" wrapText="1"/>
      <protection locked="0"/>
    </xf>
    <xf numFmtId="0" fontId="49" fillId="0" borderId="9" xfId="0" applyFont="1" applyBorder="1" applyAlignment="1" applyProtection="1">
      <alignment horizontal="center" vertical="center" wrapText="1"/>
      <protection locked="0"/>
    </xf>
    <xf numFmtId="0" fontId="49" fillId="0" borderId="63" xfId="0" applyFont="1" applyFill="1" applyBorder="1" applyAlignment="1" applyProtection="1">
      <alignment horizontal="center" vertical="center"/>
      <protection locked="0"/>
    </xf>
    <xf numFmtId="0" fontId="49" fillId="0" borderId="44" xfId="0" applyFont="1" applyFill="1" applyBorder="1" applyAlignment="1" applyProtection="1">
      <alignment horizontal="center" vertical="center"/>
      <protection locked="0"/>
    </xf>
    <xf numFmtId="0" fontId="48" fillId="2" borderId="20" xfId="0" applyFont="1" applyFill="1" applyBorder="1" applyAlignment="1">
      <alignment horizontal="center" vertical="center"/>
    </xf>
    <xf numFmtId="0" fontId="49" fillId="20" borderId="21" xfId="0" applyFont="1" applyFill="1" applyBorder="1" applyAlignment="1" applyProtection="1">
      <alignment horizontal="left" vertical="center" wrapText="1"/>
      <protection locked="0"/>
    </xf>
    <xf numFmtId="0" fontId="49" fillId="20" borderId="10" xfId="0" applyFont="1" applyFill="1" applyBorder="1" applyAlignment="1" applyProtection="1">
      <alignment horizontal="left" vertical="center" wrapText="1"/>
      <protection locked="0"/>
    </xf>
    <xf numFmtId="0" fontId="49" fillId="20" borderId="0" xfId="0" applyFont="1" applyFill="1" applyBorder="1" applyAlignment="1" applyProtection="1">
      <alignment horizontal="left" vertical="center" wrapText="1"/>
      <protection locked="0"/>
    </xf>
    <xf numFmtId="0" fontId="49" fillId="20" borderId="9" xfId="0" applyFont="1" applyFill="1" applyBorder="1" applyAlignment="1" applyProtection="1">
      <alignment horizontal="left" vertical="center" wrapText="1"/>
      <protection locked="0"/>
    </xf>
    <xf numFmtId="0" fontId="49" fillId="20" borderId="20" xfId="0" applyFont="1" applyFill="1" applyBorder="1" applyAlignment="1" applyProtection="1">
      <alignment horizontal="left" vertical="center" wrapText="1"/>
      <protection locked="0"/>
    </xf>
    <xf numFmtId="0" fontId="51" fillId="17" borderId="44" xfId="0" applyFont="1" applyFill="1" applyBorder="1" applyAlignment="1">
      <alignment horizontal="center" vertical="center" wrapText="1"/>
    </xf>
    <xf numFmtId="0" fontId="49" fillId="20" borderId="3" xfId="0" applyFont="1" applyFill="1" applyBorder="1" applyAlignment="1" applyProtection="1">
      <alignment horizontal="left" vertical="center" wrapText="1"/>
      <protection locked="0"/>
    </xf>
    <xf numFmtId="0" fontId="49" fillId="20" borderId="44" xfId="0" applyFont="1" applyFill="1" applyBorder="1" applyAlignment="1" applyProtection="1">
      <alignment horizontal="center" vertical="center" wrapText="1"/>
      <protection locked="0"/>
    </xf>
    <xf numFmtId="0" fontId="49" fillId="0" borderId="44" xfId="0" applyFont="1" applyBorder="1" applyAlignment="1">
      <alignment horizontal="center"/>
    </xf>
    <xf numFmtId="0" fontId="49" fillId="0" borderId="44" xfId="0" applyFont="1" applyBorder="1" applyAlignment="1">
      <alignment horizontal="center" vertical="center" wrapText="1"/>
    </xf>
    <xf numFmtId="0" fontId="49" fillId="0" borderId="44" xfId="0" applyFont="1" applyBorder="1" applyAlignment="1">
      <alignment horizontal="center" wrapText="1"/>
    </xf>
    <xf numFmtId="0" fontId="49" fillId="0" borderId="44" xfId="0" applyFont="1" applyBorder="1" applyAlignment="1">
      <alignment horizontal="center" vertical="center"/>
    </xf>
    <xf numFmtId="0" fontId="49" fillId="0" borderId="27" xfId="0" applyFont="1" applyBorder="1" applyAlignment="1">
      <alignment horizontal="center" vertical="center" wrapText="1"/>
    </xf>
    <xf numFmtId="9" fontId="49" fillId="0" borderId="53" xfId="0" applyNumberFormat="1" applyFont="1" applyBorder="1" applyAlignment="1" applyProtection="1">
      <alignment horizontal="left" vertical="center" wrapText="1"/>
      <protection hidden="1"/>
    </xf>
    <xf numFmtId="9" fontId="49" fillId="0" borderId="51" xfId="0" applyNumberFormat="1" applyFont="1" applyBorder="1" applyAlignment="1" applyProtection="1">
      <alignment horizontal="left" vertical="center" wrapText="1"/>
      <protection hidden="1"/>
    </xf>
    <xf numFmtId="9" fontId="49" fillId="0" borderId="47" xfId="0" applyNumberFormat="1" applyFont="1" applyBorder="1" applyAlignment="1" applyProtection="1">
      <alignment horizontal="left" vertical="center" wrapText="1"/>
      <protection hidden="1"/>
    </xf>
    <xf numFmtId="9" fontId="49" fillId="0" borderId="56" xfId="0" applyNumberFormat="1" applyFont="1" applyBorder="1" applyAlignment="1" applyProtection="1">
      <alignment horizontal="left" vertical="center" wrapText="1"/>
      <protection hidden="1"/>
    </xf>
    <xf numFmtId="9" fontId="49" fillId="0" borderId="59" xfId="0" applyNumberFormat="1" applyFont="1" applyBorder="1" applyAlignment="1" applyProtection="1">
      <alignment horizontal="left" vertical="center" wrapText="1"/>
      <protection hidden="1"/>
    </xf>
    <xf numFmtId="0" fontId="49" fillId="0" borderId="20" xfId="0" applyFont="1" applyBorder="1" applyAlignment="1">
      <alignment horizontal="center"/>
    </xf>
    <xf numFmtId="0" fontId="49" fillId="0" borderId="21" xfId="0" applyFont="1" applyBorder="1" applyAlignment="1">
      <alignment horizontal="center"/>
    </xf>
    <xf numFmtId="0" fontId="49" fillId="0" borderId="27" xfId="0" applyFont="1" applyBorder="1" applyAlignment="1">
      <alignment horizontal="center"/>
    </xf>
    <xf numFmtId="9" fontId="49" fillId="0" borderId="57" xfId="0" applyNumberFormat="1" applyFont="1" applyBorder="1" applyAlignment="1" applyProtection="1">
      <alignment horizontal="left" vertical="center" wrapText="1"/>
      <protection hidden="1"/>
    </xf>
    <xf numFmtId="9" fontId="49" fillId="0" borderId="60" xfId="0" applyNumberFormat="1" applyFont="1" applyBorder="1" applyAlignment="1" applyProtection="1">
      <alignment horizontal="left" vertical="center" wrapText="1"/>
      <protection hidden="1"/>
    </xf>
    <xf numFmtId="9" fontId="49" fillId="0" borderId="52" xfId="0" applyNumberFormat="1" applyFont="1" applyBorder="1" applyAlignment="1" applyProtection="1">
      <alignment horizontal="left" vertical="center" wrapText="1"/>
      <protection hidden="1"/>
    </xf>
    <xf numFmtId="9" fontId="49" fillId="0" borderId="50" xfId="0" applyNumberFormat="1" applyFont="1" applyBorder="1" applyAlignment="1" applyProtection="1">
      <alignment horizontal="center" vertical="top" wrapText="1"/>
      <protection hidden="1"/>
    </xf>
    <xf numFmtId="9" fontId="49" fillId="0" borderId="53" xfId="0" applyNumberFormat="1" applyFont="1" applyBorder="1" applyAlignment="1" applyProtection="1">
      <alignment horizontal="center" vertical="top" wrapText="1"/>
      <protection hidden="1"/>
    </xf>
    <xf numFmtId="9" fontId="49" fillId="0" borderId="50" xfId="0" applyNumberFormat="1" applyFont="1" applyBorder="1" applyAlignment="1" applyProtection="1">
      <alignment horizontal="left" vertical="center" wrapText="1"/>
      <protection hidden="1"/>
    </xf>
    <xf numFmtId="9" fontId="49" fillId="0" borderId="48" xfId="0" applyNumberFormat="1" applyFont="1" applyBorder="1" applyAlignment="1" applyProtection="1">
      <alignment horizontal="left" vertical="center" wrapText="1"/>
      <protection hidden="1"/>
    </xf>
    <xf numFmtId="0" fontId="14" fillId="10" borderId="0" xfId="0" applyFont="1" applyFill="1" applyAlignment="1">
      <alignment horizontal="center" vertical="center" textRotation="90" wrapText="1" readingOrder="1"/>
    </xf>
    <xf numFmtId="0" fontId="14" fillId="10" borderId="6" xfId="0" applyFont="1" applyFill="1" applyBorder="1" applyAlignment="1">
      <alignment horizontal="center" vertical="center" textRotation="90" wrapText="1" readingOrder="1"/>
    </xf>
    <xf numFmtId="0" fontId="17" fillId="12" borderId="11" xfId="0" applyFont="1" applyFill="1" applyBorder="1" applyAlignment="1">
      <alignment horizontal="center" vertical="center" wrapText="1" readingOrder="1"/>
    </xf>
    <xf numFmtId="0" fontId="17" fillId="12" borderId="12" xfId="0" applyFont="1" applyFill="1" applyBorder="1" applyAlignment="1">
      <alignment horizontal="center" vertical="center" wrapText="1" readingOrder="1"/>
    </xf>
    <xf numFmtId="0" fontId="17" fillId="12" borderId="13" xfId="0" applyFont="1" applyFill="1" applyBorder="1" applyAlignment="1">
      <alignment horizontal="center" vertical="center" wrapText="1" readingOrder="1"/>
    </xf>
    <xf numFmtId="0" fontId="17" fillId="12" borderId="14" xfId="0" applyFont="1" applyFill="1" applyBorder="1" applyAlignment="1">
      <alignment horizontal="center" vertical="center" wrapText="1" readingOrder="1"/>
    </xf>
    <xf numFmtId="0" fontId="17" fillId="12" borderId="0" xfId="0" applyFont="1" applyFill="1" applyBorder="1" applyAlignment="1">
      <alignment horizontal="center" vertical="center" wrapText="1" readingOrder="1"/>
    </xf>
    <xf numFmtId="0" fontId="17" fillId="12" borderId="15" xfId="0" applyFont="1" applyFill="1" applyBorder="1" applyAlignment="1">
      <alignment horizontal="center" vertical="center" wrapText="1" readingOrder="1"/>
    </xf>
    <xf numFmtId="0" fontId="17" fillId="12" borderId="16" xfId="0" applyFont="1" applyFill="1" applyBorder="1" applyAlignment="1">
      <alignment horizontal="center" vertical="center" wrapText="1" readingOrder="1"/>
    </xf>
    <xf numFmtId="0" fontId="17" fillId="12" borderId="17" xfId="0" applyFont="1" applyFill="1" applyBorder="1" applyAlignment="1">
      <alignment horizontal="center" vertical="center" wrapText="1" readingOrder="1"/>
    </xf>
    <xf numFmtId="0" fontId="17" fillId="12" borderId="18" xfId="0" applyFont="1" applyFill="1" applyBorder="1" applyAlignment="1">
      <alignment horizontal="center" vertical="center" wrapText="1" readingOrder="1"/>
    </xf>
    <xf numFmtId="0" fontId="17" fillId="11" borderId="11" xfId="0" applyFont="1" applyFill="1" applyBorder="1" applyAlignment="1">
      <alignment horizontal="center" vertical="center" wrapText="1" readingOrder="1"/>
    </xf>
    <xf numFmtId="0" fontId="17" fillId="11" borderId="12" xfId="0" applyFont="1" applyFill="1" applyBorder="1" applyAlignment="1">
      <alignment horizontal="center" vertical="center" wrapText="1" readingOrder="1"/>
    </xf>
    <xf numFmtId="0" fontId="17" fillId="11" borderId="13" xfId="0" applyFont="1" applyFill="1" applyBorder="1" applyAlignment="1">
      <alignment horizontal="center" vertical="center" wrapText="1" readingOrder="1"/>
    </xf>
    <xf numFmtId="0" fontId="17" fillId="11" borderId="14" xfId="0" applyFont="1" applyFill="1" applyBorder="1" applyAlignment="1">
      <alignment horizontal="center" vertical="center" wrapText="1" readingOrder="1"/>
    </xf>
    <xf numFmtId="0" fontId="17" fillId="11" borderId="0" xfId="0" applyFont="1" applyFill="1" applyBorder="1" applyAlignment="1">
      <alignment horizontal="center" vertical="center" wrapText="1" readingOrder="1"/>
    </xf>
    <xf numFmtId="0" fontId="17" fillId="11" borderId="15" xfId="0" applyFont="1" applyFill="1" applyBorder="1" applyAlignment="1">
      <alignment horizontal="center" vertical="center" wrapText="1" readingOrder="1"/>
    </xf>
    <xf numFmtId="0" fontId="17" fillId="11" borderId="16" xfId="0" applyFont="1" applyFill="1" applyBorder="1" applyAlignment="1">
      <alignment horizontal="center" vertical="center" wrapText="1" readingOrder="1"/>
    </xf>
    <xf numFmtId="0" fontId="17" fillId="11" borderId="17" xfId="0" applyFont="1" applyFill="1" applyBorder="1" applyAlignment="1">
      <alignment horizontal="center" vertical="center" wrapText="1" readingOrder="1"/>
    </xf>
    <xf numFmtId="0" fontId="17" fillId="11" borderId="18" xfId="0" applyFont="1" applyFill="1" applyBorder="1" applyAlignment="1">
      <alignment horizontal="center" vertical="center" wrapText="1" readingOrder="1"/>
    </xf>
    <xf numFmtId="0" fontId="17" fillId="13" borderId="11" xfId="0" applyFont="1" applyFill="1" applyBorder="1" applyAlignment="1">
      <alignment horizontal="center" vertical="center" wrapText="1" readingOrder="1"/>
    </xf>
    <xf numFmtId="0" fontId="17" fillId="13" borderId="12" xfId="0" applyFont="1" applyFill="1" applyBorder="1" applyAlignment="1">
      <alignment horizontal="center" vertical="center" wrapText="1" readingOrder="1"/>
    </xf>
    <xf numFmtId="0" fontId="17" fillId="13" borderId="13" xfId="0" applyFont="1" applyFill="1" applyBorder="1" applyAlignment="1">
      <alignment horizontal="center" vertical="center" wrapText="1" readingOrder="1"/>
    </xf>
    <xf numFmtId="0" fontId="17" fillId="13" borderId="14" xfId="0" applyFont="1" applyFill="1" applyBorder="1" applyAlignment="1">
      <alignment horizontal="center" vertical="center" wrapText="1" readingOrder="1"/>
    </xf>
    <xf numFmtId="0" fontId="17" fillId="13" borderId="0" xfId="0" applyFont="1" applyFill="1" applyBorder="1" applyAlignment="1">
      <alignment horizontal="center" vertical="center" wrapText="1" readingOrder="1"/>
    </xf>
    <xf numFmtId="0" fontId="17" fillId="13" borderId="15" xfId="0" applyFont="1" applyFill="1" applyBorder="1" applyAlignment="1">
      <alignment horizontal="center" vertical="center" wrapText="1" readingOrder="1"/>
    </xf>
    <xf numFmtId="0" fontId="17" fillId="13" borderId="16" xfId="0" applyFont="1" applyFill="1" applyBorder="1" applyAlignment="1">
      <alignment horizontal="center" vertical="center" wrapText="1" readingOrder="1"/>
    </xf>
    <xf numFmtId="0" fontId="17" fillId="13" borderId="17" xfId="0" applyFont="1" applyFill="1" applyBorder="1" applyAlignment="1">
      <alignment horizontal="center" vertical="center" wrapText="1" readingOrder="1"/>
    </xf>
    <xf numFmtId="0" fontId="17" fillId="13" borderId="18" xfId="0" applyFont="1" applyFill="1" applyBorder="1" applyAlignment="1">
      <alignment horizontal="center" vertical="center" wrapText="1" readingOrder="1"/>
    </xf>
    <xf numFmtId="0" fontId="17" fillId="5" borderId="11" xfId="0" applyFont="1" applyFill="1" applyBorder="1" applyAlignment="1">
      <alignment horizontal="center" vertical="center" wrapText="1" readingOrder="1"/>
    </xf>
    <xf numFmtId="0" fontId="17" fillId="5" borderId="12" xfId="0" applyFont="1" applyFill="1" applyBorder="1" applyAlignment="1">
      <alignment horizontal="center" vertical="center" wrapText="1" readingOrder="1"/>
    </xf>
    <xf numFmtId="0" fontId="17" fillId="5" borderId="13" xfId="0" applyFont="1" applyFill="1" applyBorder="1" applyAlignment="1">
      <alignment horizontal="center" vertical="center" wrapText="1" readingOrder="1"/>
    </xf>
    <xf numFmtId="0" fontId="17" fillId="5" borderId="14" xfId="0" applyFont="1" applyFill="1" applyBorder="1" applyAlignment="1">
      <alignment horizontal="center" vertical="center" wrapText="1" readingOrder="1"/>
    </xf>
    <xf numFmtId="0" fontId="17" fillId="5" borderId="0" xfId="0" applyFont="1" applyFill="1" applyBorder="1" applyAlignment="1">
      <alignment horizontal="center" vertical="center" wrapText="1" readingOrder="1"/>
    </xf>
    <xf numFmtId="0" fontId="17" fillId="5" borderId="15" xfId="0" applyFont="1" applyFill="1" applyBorder="1" applyAlignment="1">
      <alignment horizontal="center" vertical="center" wrapText="1" readingOrder="1"/>
    </xf>
    <xf numFmtId="0" fontId="17" fillId="5" borderId="16" xfId="0" applyFont="1" applyFill="1" applyBorder="1" applyAlignment="1">
      <alignment horizontal="center" vertical="center" wrapText="1" readingOrder="1"/>
    </xf>
    <xf numFmtId="0" fontId="17" fillId="5" borderId="17" xfId="0" applyFont="1" applyFill="1" applyBorder="1" applyAlignment="1">
      <alignment horizontal="center" vertical="center" wrapText="1" readingOrder="1"/>
    </xf>
    <xf numFmtId="0" fontId="17" fillId="5" borderId="18" xfId="0" applyFont="1" applyFill="1" applyBorder="1" applyAlignment="1">
      <alignment horizontal="center" vertical="center" wrapText="1" readingOrder="1"/>
    </xf>
    <xf numFmtId="0" fontId="13" fillId="0" borderId="3" xfId="0" applyFont="1" applyBorder="1" applyAlignment="1">
      <alignment horizontal="center"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6" fillId="11" borderId="0" xfId="0" applyFont="1" applyFill="1" applyAlignment="1" applyProtection="1">
      <alignment horizontal="center" vertical="center" wrapText="1" readingOrder="1"/>
      <protection hidden="1"/>
    </xf>
    <xf numFmtId="0" fontId="16" fillId="11" borderId="6" xfId="0" applyFont="1" applyFill="1" applyBorder="1" applyAlignment="1" applyProtection="1">
      <alignment horizontal="center" vertical="center" wrapText="1" readingOrder="1"/>
      <protection hidden="1"/>
    </xf>
    <xf numFmtId="0" fontId="16" fillId="11" borderId="0" xfId="0" applyFont="1" applyFill="1" applyBorder="1" applyAlignment="1" applyProtection="1">
      <alignment horizontal="center" vertical="center" wrapText="1" readingOrder="1"/>
      <protection hidden="1"/>
    </xf>
    <xf numFmtId="0" fontId="16" fillId="11" borderId="3" xfId="0" applyFont="1" applyFill="1" applyBorder="1" applyAlignment="1" applyProtection="1">
      <alignment horizontal="center" vertical="center" wrapText="1" readingOrder="1"/>
      <protection hidden="1"/>
    </xf>
    <xf numFmtId="0" fontId="16" fillId="11" borderId="10" xfId="0" applyFont="1" applyFill="1" applyBorder="1" applyAlignment="1" applyProtection="1">
      <alignment horizontal="center" vertical="center" wrapText="1" readingOrder="1"/>
      <protection hidden="1"/>
    </xf>
    <xf numFmtId="0" fontId="16" fillId="11" borderId="5" xfId="0" applyFont="1" applyFill="1" applyBorder="1" applyAlignment="1" applyProtection="1">
      <alignment horizontal="center" vertical="center" wrapText="1" readingOrder="1"/>
      <protection hidden="1"/>
    </xf>
    <xf numFmtId="0" fontId="16" fillId="11" borderId="4" xfId="0" applyFont="1" applyFill="1" applyBorder="1" applyAlignment="1" applyProtection="1">
      <alignment horizontal="center" vertical="center" wrapText="1" readingOrder="1"/>
      <protection hidden="1"/>
    </xf>
    <xf numFmtId="0" fontId="14" fillId="10" borderId="0" xfId="0" applyFont="1" applyFill="1" applyAlignment="1">
      <alignment horizontal="center" vertical="center" wrapText="1" readingOrder="1"/>
    </xf>
    <xf numFmtId="0" fontId="13" fillId="0" borderId="0" xfId="0" applyFont="1" applyBorder="1" applyAlignment="1">
      <alignment horizontal="center" vertical="center"/>
    </xf>
    <xf numFmtId="0" fontId="13" fillId="0" borderId="10" xfId="0" applyFont="1" applyBorder="1" applyAlignment="1">
      <alignment horizontal="center" vertical="center" wrapText="1"/>
    </xf>
    <xf numFmtId="0" fontId="16" fillId="11" borderId="7" xfId="0" applyFont="1" applyFill="1" applyBorder="1" applyAlignment="1" applyProtection="1">
      <alignment horizontal="center" vertical="center" wrapText="1" readingOrder="1"/>
      <protection hidden="1"/>
    </xf>
    <xf numFmtId="0" fontId="16" fillId="11" borderId="9" xfId="0" applyFont="1" applyFill="1" applyBorder="1" applyAlignment="1" applyProtection="1">
      <alignment horizontal="center" vertical="center" wrapText="1" readingOrder="1"/>
      <protection hidden="1"/>
    </xf>
    <xf numFmtId="0" fontId="16" fillId="11" borderId="8" xfId="0" applyFont="1" applyFill="1" applyBorder="1" applyAlignment="1" applyProtection="1">
      <alignment horizontal="center" vertical="center" wrapText="1" readingOrder="1"/>
      <protection hidden="1"/>
    </xf>
    <xf numFmtId="0" fontId="16" fillId="12" borderId="5" xfId="0" applyFont="1" applyFill="1" applyBorder="1" applyAlignment="1" applyProtection="1">
      <alignment horizontal="center" wrapText="1" readingOrder="1"/>
      <protection hidden="1"/>
    </xf>
    <xf numFmtId="0" fontId="16" fillId="12" borderId="0" xfId="0" applyFont="1" applyFill="1" applyBorder="1" applyAlignment="1" applyProtection="1">
      <alignment horizontal="center" wrapText="1" readingOrder="1"/>
      <protection hidden="1"/>
    </xf>
    <xf numFmtId="0" fontId="16" fillId="12" borderId="6" xfId="0" applyFont="1" applyFill="1" applyBorder="1" applyAlignment="1" applyProtection="1">
      <alignment horizontal="center" wrapText="1" readingOrder="1"/>
      <protection hidden="1"/>
    </xf>
    <xf numFmtId="0" fontId="16" fillId="12" borderId="7" xfId="0" applyFont="1" applyFill="1" applyBorder="1" applyAlignment="1" applyProtection="1">
      <alignment horizontal="center" wrapText="1" readingOrder="1"/>
      <protection hidden="1"/>
    </xf>
    <xf numFmtId="0" fontId="16" fillId="12" borderId="9" xfId="0" applyFont="1" applyFill="1" applyBorder="1" applyAlignment="1" applyProtection="1">
      <alignment horizontal="center" wrapText="1" readingOrder="1"/>
      <protection hidden="1"/>
    </xf>
    <xf numFmtId="0" fontId="16" fillId="12" borderId="8" xfId="0" applyFont="1" applyFill="1" applyBorder="1" applyAlignment="1" applyProtection="1">
      <alignment horizontal="center" wrapText="1" readingOrder="1"/>
      <protection hidden="1"/>
    </xf>
    <xf numFmtId="0" fontId="16" fillId="12" borderId="3" xfId="0" applyFont="1" applyFill="1" applyBorder="1" applyAlignment="1" applyProtection="1">
      <alignment horizontal="center" wrapText="1" readingOrder="1"/>
      <protection hidden="1"/>
    </xf>
    <xf numFmtId="0" fontId="16" fillId="12" borderId="10" xfId="0" applyFont="1" applyFill="1" applyBorder="1" applyAlignment="1" applyProtection="1">
      <alignment horizontal="center" wrapText="1" readingOrder="1"/>
      <protection hidden="1"/>
    </xf>
    <xf numFmtId="0" fontId="16" fillId="12" borderId="4" xfId="0" applyFont="1" applyFill="1" applyBorder="1" applyAlignment="1" applyProtection="1">
      <alignment horizontal="center" wrapText="1" readingOrder="1"/>
      <protection hidden="1"/>
    </xf>
    <xf numFmtId="0" fontId="16" fillId="13" borderId="5" xfId="0" applyFont="1" applyFill="1" applyBorder="1" applyAlignment="1" applyProtection="1">
      <alignment horizontal="center" wrapText="1" readingOrder="1"/>
      <protection hidden="1"/>
    </xf>
    <xf numFmtId="0" fontId="16" fillId="13" borderId="0" xfId="0" applyFont="1" applyFill="1" applyBorder="1" applyAlignment="1" applyProtection="1">
      <alignment horizontal="center" wrapText="1" readingOrder="1"/>
      <protection hidden="1"/>
    </xf>
    <xf numFmtId="0" fontId="16" fillId="13" borderId="6" xfId="0" applyFont="1" applyFill="1" applyBorder="1" applyAlignment="1" applyProtection="1">
      <alignment horizontal="center" wrapText="1" readingOrder="1"/>
      <protection hidden="1"/>
    </xf>
    <xf numFmtId="0" fontId="16" fillId="13" borderId="7" xfId="0" applyFont="1" applyFill="1" applyBorder="1" applyAlignment="1" applyProtection="1">
      <alignment horizontal="center" wrapText="1" readingOrder="1"/>
      <protection hidden="1"/>
    </xf>
    <xf numFmtId="0" fontId="16" fillId="13" borderId="9" xfId="0" applyFont="1" applyFill="1" applyBorder="1" applyAlignment="1" applyProtection="1">
      <alignment horizontal="center" wrapText="1" readingOrder="1"/>
      <protection hidden="1"/>
    </xf>
    <xf numFmtId="0" fontId="16" fillId="13" borderId="8" xfId="0" applyFont="1" applyFill="1" applyBorder="1" applyAlignment="1" applyProtection="1">
      <alignment horizontal="center" wrapText="1" readingOrder="1"/>
      <protection hidden="1"/>
    </xf>
    <xf numFmtId="0" fontId="16" fillId="13" borderId="3" xfId="0" applyFont="1" applyFill="1" applyBorder="1" applyAlignment="1" applyProtection="1">
      <alignment horizontal="center" wrapText="1" readingOrder="1"/>
      <protection hidden="1"/>
    </xf>
    <xf numFmtId="0" fontId="16" fillId="13" borderId="10" xfId="0" applyFont="1" applyFill="1" applyBorder="1" applyAlignment="1" applyProtection="1">
      <alignment horizontal="center" wrapText="1" readingOrder="1"/>
      <protection hidden="1"/>
    </xf>
    <xf numFmtId="0" fontId="16" fillId="13" borderId="4" xfId="0" applyFont="1" applyFill="1" applyBorder="1" applyAlignment="1" applyProtection="1">
      <alignment horizontal="center" wrapText="1" readingOrder="1"/>
      <protection hidden="1"/>
    </xf>
    <xf numFmtId="0" fontId="16" fillId="5" borderId="0" xfId="0" applyFont="1" applyFill="1" applyBorder="1" applyAlignment="1" applyProtection="1">
      <alignment horizontal="center" wrapText="1" readingOrder="1"/>
      <protection hidden="1"/>
    </xf>
    <xf numFmtId="0" fontId="16" fillId="5" borderId="6" xfId="0" applyFont="1" applyFill="1" applyBorder="1" applyAlignment="1" applyProtection="1">
      <alignment horizontal="center" wrapText="1" readingOrder="1"/>
      <protection hidden="1"/>
    </xf>
    <xf numFmtId="0" fontId="16" fillId="5" borderId="5" xfId="0" applyFont="1" applyFill="1" applyBorder="1" applyAlignment="1" applyProtection="1">
      <alignment horizontal="center" wrapText="1" readingOrder="1"/>
      <protection hidden="1"/>
    </xf>
    <xf numFmtId="0" fontId="16" fillId="5" borderId="7" xfId="0" applyFont="1" applyFill="1" applyBorder="1" applyAlignment="1" applyProtection="1">
      <alignment horizontal="center" wrapText="1" readingOrder="1"/>
      <protection hidden="1"/>
    </xf>
    <xf numFmtId="0" fontId="16" fillId="5" borderId="9" xfId="0" applyFont="1" applyFill="1" applyBorder="1" applyAlignment="1" applyProtection="1">
      <alignment horizontal="center" wrapText="1" readingOrder="1"/>
      <protection hidden="1"/>
    </xf>
    <xf numFmtId="0" fontId="16" fillId="5" borderId="8" xfId="0" applyFont="1" applyFill="1" applyBorder="1" applyAlignment="1" applyProtection="1">
      <alignment horizontal="center" wrapText="1" readingOrder="1"/>
      <protection hidden="1"/>
    </xf>
    <xf numFmtId="0" fontId="16" fillId="5" borderId="3" xfId="0" applyFont="1" applyFill="1" applyBorder="1" applyAlignment="1" applyProtection="1">
      <alignment horizontal="center" wrapText="1" readingOrder="1"/>
      <protection hidden="1"/>
    </xf>
    <xf numFmtId="0" fontId="16" fillId="5" borderId="10" xfId="0" applyFont="1" applyFill="1" applyBorder="1" applyAlignment="1" applyProtection="1">
      <alignment horizontal="center" wrapText="1" readingOrder="1"/>
      <protection hidden="1"/>
    </xf>
    <xf numFmtId="0" fontId="16" fillId="5" borderId="4" xfId="0" applyFont="1" applyFill="1" applyBorder="1" applyAlignment="1" applyProtection="1">
      <alignment horizontal="center" wrapText="1" readingOrder="1"/>
      <protection hidden="1"/>
    </xf>
    <xf numFmtId="0" fontId="21" fillId="0" borderId="0" xfId="0" applyFont="1" applyAlignment="1">
      <alignment horizontal="center" vertical="center" wrapText="1"/>
    </xf>
    <xf numFmtId="0" fontId="37" fillId="11" borderId="11" xfId="0" applyFont="1" applyFill="1" applyBorder="1" applyAlignment="1">
      <alignment horizontal="center" vertical="center" wrapText="1" readingOrder="1"/>
    </xf>
    <xf numFmtId="0" fontId="37" fillId="11" borderId="12" xfId="0" applyFont="1" applyFill="1" applyBorder="1" applyAlignment="1">
      <alignment horizontal="center" vertical="center" wrapText="1" readingOrder="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0"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8" fillId="0" borderId="3" xfId="0" applyFont="1" applyBorder="1" applyAlignment="1">
      <alignment horizontal="center" vertical="center" wrapText="1"/>
    </xf>
    <xf numFmtId="0" fontId="38" fillId="0" borderId="10" xfId="0" applyFont="1" applyBorder="1" applyAlignment="1">
      <alignment horizontal="center" vertical="center"/>
    </xf>
    <xf numFmtId="0" fontId="38" fillId="0" borderId="5" xfId="0" applyFont="1" applyBorder="1" applyAlignment="1">
      <alignment horizontal="center" vertical="center" wrapText="1"/>
    </xf>
    <xf numFmtId="0" fontId="38" fillId="0" borderId="0"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xf>
    <xf numFmtId="0" fontId="38" fillId="0" borderId="9" xfId="0" applyFont="1" applyBorder="1" applyAlignment="1">
      <alignment horizontal="center" vertical="center"/>
    </xf>
    <xf numFmtId="0" fontId="37" fillId="12" borderId="11" xfId="0" applyFont="1" applyFill="1" applyBorder="1" applyAlignment="1">
      <alignment horizontal="center" vertical="center" wrapText="1" readingOrder="1"/>
    </xf>
    <xf numFmtId="0" fontId="37" fillId="12" borderId="12" xfId="0" applyFont="1" applyFill="1" applyBorder="1" applyAlignment="1">
      <alignment horizontal="center" vertical="center" wrapText="1" readingOrder="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0"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6" fillId="0" borderId="0" xfId="0" applyFont="1" applyAlignment="1">
      <alignment horizontal="center" vertical="center" wrapText="1"/>
    </xf>
    <xf numFmtId="0" fontId="18" fillId="0" borderId="0" xfId="0" applyFont="1" applyAlignment="1">
      <alignment horizontal="center" vertical="center" wrapText="1"/>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7" fillId="5" borderId="11" xfId="0" applyFont="1" applyFill="1" applyBorder="1" applyAlignment="1">
      <alignment horizontal="center" vertical="center" wrapText="1" readingOrder="1"/>
    </xf>
    <xf numFmtId="0" fontId="37" fillId="5" borderId="12" xfId="0" applyFont="1" applyFill="1" applyBorder="1" applyAlignment="1">
      <alignment horizontal="center" vertical="center" wrapText="1" readingOrder="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0"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13" borderId="11" xfId="0" applyFont="1" applyFill="1" applyBorder="1" applyAlignment="1">
      <alignment horizontal="center" vertical="center" wrapText="1" readingOrder="1"/>
    </xf>
    <xf numFmtId="0" fontId="37" fillId="13" borderId="12"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0"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8" fillId="0" borderId="10" xfId="0" applyFont="1" applyBorder="1" applyAlignment="1">
      <alignment horizontal="center" vertical="center" wrapText="1"/>
    </xf>
    <xf numFmtId="0" fontId="20" fillId="0" borderId="0" xfId="0" applyFont="1" applyAlignment="1">
      <alignment horizontal="center" vertical="center"/>
    </xf>
    <xf numFmtId="0" fontId="40" fillId="0" borderId="0" xfId="0" applyFont="1" applyAlignment="1">
      <alignment horizontal="center" vertical="center"/>
    </xf>
    <xf numFmtId="0" fontId="30" fillId="3" borderId="0" xfId="0" applyFont="1" applyFill="1" applyBorder="1" applyAlignment="1">
      <alignment horizontal="center" vertical="center" wrapText="1"/>
    </xf>
    <xf numFmtId="0" fontId="41" fillId="3" borderId="28" xfId="0" applyFont="1" applyFill="1" applyBorder="1" applyAlignment="1">
      <alignment horizontal="center" vertical="center"/>
    </xf>
    <xf numFmtId="0" fontId="41" fillId="3" borderId="41" xfId="0" applyFont="1" applyFill="1" applyBorder="1" applyAlignment="1">
      <alignment horizontal="center" vertical="center"/>
    </xf>
    <xf numFmtId="0" fontId="41" fillId="3" borderId="22" xfId="0" applyFont="1" applyFill="1" applyBorder="1" applyAlignment="1">
      <alignment horizontal="center" vertical="center"/>
    </xf>
    <xf numFmtId="0" fontId="41" fillId="3" borderId="34" xfId="0" applyFont="1" applyFill="1" applyBorder="1" applyAlignment="1">
      <alignment horizontal="center" vertical="center"/>
    </xf>
    <xf numFmtId="0" fontId="35" fillId="14" borderId="20" xfId="0" applyFont="1" applyFill="1" applyBorder="1" applyAlignment="1">
      <alignment horizontal="center" vertical="center" wrapText="1" readingOrder="1"/>
    </xf>
    <xf numFmtId="0" fontId="35" fillId="14" borderId="21" xfId="0" applyFont="1" applyFill="1" applyBorder="1" applyAlignment="1">
      <alignment horizontal="center" vertical="center" wrapText="1" readingOrder="1"/>
    </xf>
    <xf numFmtId="0" fontId="35" fillId="14" borderId="27" xfId="0" applyFont="1" applyFill="1" applyBorder="1" applyAlignment="1">
      <alignment horizontal="center" vertical="center" wrapText="1" readingOrder="1"/>
    </xf>
    <xf numFmtId="0" fontId="32" fillId="14" borderId="32" xfId="0" applyFont="1" applyFill="1" applyBorder="1" applyAlignment="1">
      <alignment horizontal="center" vertical="center" wrapText="1" readingOrder="1"/>
    </xf>
    <xf numFmtId="0" fontId="32" fillId="14" borderId="31" xfId="0" applyFont="1" applyFill="1" applyBorder="1" applyAlignment="1">
      <alignment horizontal="center" vertical="center" wrapText="1" readingOrder="1"/>
    </xf>
    <xf numFmtId="0" fontId="32" fillId="3" borderId="28" xfId="0" applyFont="1" applyFill="1" applyBorder="1" applyAlignment="1">
      <alignment horizontal="center" vertical="center" wrapText="1" readingOrder="1"/>
    </xf>
    <xf numFmtId="0" fontId="32" fillId="3" borderId="22" xfId="0" applyFont="1" applyFill="1" applyBorder="1" applyAlignment="1">
      <alignment horizontal="center" vertical="center" wrapText="1" readingOrder="1"/>
    </xf>
    <xf numFmtId="0" fontId="32" fillId="3" borderId="24" xfId="0" applyFont="1" applyFill="1" applyBorder="1" applyAlignment="1">
      <alignment horizontal="center" vertical="center" wrapText="1" readingOrder="1"/>
    </xf>
    <xf numFmtId="0" fontId="32" fillId="3" borderId="29" xfId="0" applyFont="1" applyFill="1" applyBorder="1" applyAlignment="1">
      <alignment horizontal="center" vertical="center" wrapText="1" readingOrder="1"/>
    </xf>
    <xf numFmtId="0" fontId="32" fillId="3" borderId="19" xfId="0" applyFont="1" applyFill="1" applyBorder="1" applyAlignment="1">
      <alignment horizontal="center" vertical="center" wrapText="1" readingOrder="1"/>
    </xf>
    <xf numFmtId="0" fontId="32" fillId="3" borderId="25" xfId="0" applyFont="1" applyFill="1" applyBorder="1" applyAlignment="1">
      <alignment horizontal="center" vertical="center" wrapText="1" readingOrder="1"/>
    </xf>
    <xf numFmtId="0" fontId="41" fillId="3" borderId="24" xfId="0" applyFont="1" applyFill="1" applyBorder="1" applyAlignment="1">
      <alignment horizontal="center" vertical="center"/>
    </xf>
    <xf numFmtId="0" fontId="41" fillId="3" borderId="32" xfId="0" applyFont="1" applyFill="1" applyBorder="1" applyAlignment="1">
      <alignment horizontal="center" vertical="center"/>
    </xf>
    <xf numFmtId="0" fontId="41" fillId="3" borderId="38" xfId="0" applyFont="1" applyFill="1" applyBorder="1" applyAlignment="1">
      <alignment horizontal="center" vertical="center"/>
    </xf>
    <xf numFmtId="0" fontId="41" fillId="3" borderId="37" xfId="0" applyFont="1" applyFill="1" applyBorder="1" applyAlignment="1">
      <alignment horizontal="center" vertical="center"/>
    </xf>
    <xf numFmtId="0" fontId="49" fillId="0" borderId="19" xfId="0" applyFont="1" applyFill="1" applyBorder="1" applyAlignment="1">
      <alignment vertical="top"/>
    </xf>
    <xf numFmtId="0" fontId="48" fillId="0" borderId="19" xfId="0" applyFont="1" applyFill="1" applyBorder="1" applyAlignment="1">
      <alignment vertical="top"/>
    </xf>
    <xf numFmtId="0" fontId="49" fillId="0" borderId="0" xfId="0" applyFont="1" applyFill="1" applyAlignment="1">
      <alignment vertical="top"/>
    </xf>
    <xf numFmtId="0" fontId="49" fillId="0" borderId="19" xfId="2" quotePrefix="1" applyFont="1" applyFill="1" applyBorder="1" applyAlignment="1" applyProtection="1">
      <alignment vertical="top" wrapText="1"/>
    </xf>
    <xf numFmtId="0" fontId="49" fillId="0" borderId="19" xfId="3" applyFont="1" applyFill="1" applyBorder="1" applyAlignment="1" applyProtection="1">
      <alignment vertical="top" wrapText="1"/>
    </xf>
    <xf numFmtId="0" fontId="49" fillId="0" borderId="19" xfId="2" applyFont="1" applyFill="1" applyBorder="1" applyAlignment="1" applyProtection="1">
      <alignment horizontal="justify" vertical="top" wrapText="1"/>
    </xf>
    <xf numFmtId="0" fontId="49" fillId="0" borderId="19" xfId="0" applyFont="1" applyFill="1" applyBorder="1" applyAlignment="1" applyProtection="1">
      <alignment vertical="top" wrapText="1"/>
    </xf>
    <xf numFmtId="0" fontId="49" fillId="0" borderId="19" xfId="2" applyFont="1" applyFill="1" applyBorder="1" applyAlignment="1" applyProtection="1">
      <alignment vertical="top" wrapText="1"/>
    </xf>
    <xf numFmtId="0" fontId="49" fillId="0" borderId="19" xfId="0" applyFont="1" applyFill="1" applyBorder="1" applyAlignment="1">
      <alignment vertical="top" wrapText="1"/>
    </xf>
    <xf numFmtId="0" fontId="48" fillId="0" borderId="0" xfId="0" applyFont="1" applyFill="1" applyAlignment="1">
      <alignment vertical="top"/>
    </xf>
    <xf numFmtId="16" fontId="49" fillId="0" borderId="0" xfId="0" applyNumberFormat="1" applyFont="1" applyFill="1" applyAlignment="1">
      <alignment vertical="top"/>
    </xf>
    <xf numFmtId="0" fontId="48" fillId="0" borderId="19" xfId="0" applyFont="1" applyFill="1" applyBorder="1" applyAlignment="1">
      <alignment vertical="top" wrapText="1"/>
    </xf>
    <xf numFmtId="0" fontId="48" fillId="0" borderId="0" xfId="0" applyFont="1" applyFill="1" applyBorder="1" applyAlignment="1">
      <alignment horizontal="center" vertical="top" wrapText="1"/>
    </xf>
    <xf numFmtId="0" fontId="48" fillId="0" borderId="19" xfId="0" applyFont="1" applyFill="1" applyBorder="1" applyAlignment="1">
      <alignment horizontal="center" vertical="top" wrapText="1"/>
    </xf>
  </cellXfs>
  <cellStyles count="5">
    <cellStyle name="Normal" xfId="0" builtinId="0"/>
    <cellStyle name="Normal - Style1 2" xfId="2"/>
    <cellStyle name="Normal 2" xfId="4"/>
    <cellStyle name="Normal 2 2" xfId="3"/>
    <cellStyle name="Porcentaje" xfId="1" builtinId="5"/>
  </cellStyles>
  <dxfs count="590">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scargas\FORMATO%20DE%20RIESGO%20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illyvijalba\Downloads\FORMATO%20DE%20RIESGO%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row>
      </sheetData>
      <sheetData sheetId="6">
        <row r="28">
          <cell r="C28" t="str">
            <v>POLITICAS DE SEGURIDAD</v>
          </cell>
        </row>
        <row r="29">
          <cell r="C29" t="str">
            <v>ASPECTOS ORGANIZATIVOS DE LA SEGURIDAD DE LA INFORMACION</v>
          </cell>
        </row>
        <row r="30">
          <cell r="C30" t="str">
            <v>SEGURIDAD LIGADA A LOS RECURSOS HUMANOS</v>
          </cell>
        </row>
        <row r="31">
          <cell r="C31" t="str">
            <v>GESTIÓN DE ACTIVOS.</v>
          </cell>
        </row>
        <row r="32">
          <cell r="C32" t="str">
            <v>CONTROL DE ACCESOS.</v>
          </cell>
        </row>
        <row r="33">
          <cell r="C33" t="str">
            <v>CIFRADO.</v>
          </cell>
        </row>
        <row r="34">
          <cell r="C34" t="str">
            <v>SEGURIDAD FÍSICA Y AMBIENTAL.</v>
          </cell>
        </row>
        <row r="35">
          <cell r="C35" t="str">
            <v>SEGURIDAD EN LA OPERATIVA.</v>
          </cell>
        </row>
        <row r="36">
          <cell r="C36" t="str">
            <v>SEGURIDAD EN LAS TELECOMUNICACIONES.</v>
          </cell>
        </row>
        <row r="37">
          <cell r="C37" t="str">
            <v>ADQUISICION DESARROLLO Y MANTENIMIENTO DE LOS SI</v>
          </cell>
        </row>
        <row r="38">
          <cell r="C38" t="str">
            <v>RELACIONES CON SUMINISTRADORES.</v>
          </cell>
        </row>
        <row r="39">
          <cell r="C39" t="str">
            <v>GESTIÓN DE INCIDENTES EN LA SEGURIDAD DE LA INFORMACIÓN.</v>
          </cell>
        </row>
        <row r="40">
          <cell r="C40" t="str">
            <v>ASPECTOS DE SEGURIDAD DE LA INFORMACION EN LA GESTIÓN DE LA CONTINUIDAD DEL NEGOCIO.</v>
          </cell>
        </row>
        <row r="41">
          <cell r="C41" t="str">
            <v>CUMPLIMIENTO.</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589" dataDxfId="588">
  <autoFilter ref="B209:C219"/>
  <tableColumns count="2">
    <tableColumn id="1" name="Criterios" dataDxfId="587"/>
    <tableColumn id="2" name="Subcriterios" dataDxfId="58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53"/>
  <sheetViews>
    <sheetView topLeftCell="A14" zoomScaleNormal="100" workbookViewId="0">
      <selection activeCell="A36" sqref="A36:XFD38"/>
    </sheetView>
  </sheetViews>
  <sheetFormatPr baseColWidth="10" defaultColWidth="11.42578125" defaultRowHeight="15" x14ac:dyDescent="0.25"/>
  <cols>
    <col min="1" max="1" width="91" style="470" customWidth="1"/>
    <col min="2" max="2" width="109.28515625" style="470" customWidth="1"/>
    <col min="3" max="16384" width="11.42578125" style="470"/>
  </cols>
  <sheetData>
    <row r="1" spans="1:12" ht="66.75" customHeight="1" x14ac:dyDescent="0.25">
      <c r="A1" s="468"/>
      <c r="B1" s="469" t="s">
        <v>0</v>
      </c>
    </row>
    <row r="2" spans="1:12" ht="15.75" customHeight="1" x14ac:dyDescent="0.25">
      <c r="A2" s="479" t="s">
        <v>1</v>
      </c>
      <c r="B2" s="479" t="s">
        <v>1</v>
      </c>
      <c r="C2" s="480"/>
      <c r="D2" s="480"/>
      <c r="E2" s="480"/>
      <c r="F2" s="480"/>
      <c r="G2" s="480"/>
      <c r="H2" s="480"/>
      <c r="I2" s="480"/>
      <c r="J2" s="480"/>
      <c r="K2" s="480"/>
      <c r="L2" s="480"/>
    </row>
    <row r="3" spans="1:12" ht="187.5" customHeight="1" x14ac:dyDescent="0.25">
      <c r="A3" s="471" t="s">
        <v>2</v>
      </c>
      <c r="B3" s="471" t="s">
        <v>3</v>
      </c>
    </row>
    <row r="4" spans="1:12" ht="15.75" customHeight="1" x14ac:dyDescent="0.25">
      <c r="A4" s="479" t="s">
        <v>4</v>
      </c>
      <c r="B4" s="479" t="s">
        <v>4</v>
      </c>
    </row>
    <row r="5" spans="1:12" ht="126.75" customHeight="1" x14ac:dyDescent="0.25">
      <c r="A5" s="471" t="s">
        <v>5</v>
      </c>
      <c r="B5" s="471" t="s">
        <v>6</v>
      </c>
    </row>
    <row r="6" spans="1:12" ht="15.75" customHeight="1" x14ac:dyDescent="0.25">
      <c r="A6" s="479" t="s">
        <v>7</v>
      </c>
      <c r="B6" s="479" t="s">
        <v>7</v>
      </c>
    </row>
    <row r="7" spans="1:12" ht="64.5" customHeight="1" x14ac:dyDescent="0.25">
      <c r="A7" s="471" t="s">
        <v>8</v>
      </c>
      <c r="B7" s="471" t="s">
        <v>8</v>
      </c>
    </row>
    <row r="8" spans="1:12" ht="15.75" customHeight="1" x14ac:dyDescent="0.25">
      <c r="A8" s="479" t="s">
        <v>9</v>
      </c>
      <c r="B8" s="481" t="s">
        <v>10</v>
      </c>
    </row>
    <row r="9" spans="1:12" ht="15" customHeight="1" x14ac:dyDescent="0.25">
      <c r="A9" s="472" t="s">
        <v>13</v>
      </c>
      <c r="B9" s="473" t="s">
        <v>14</v>
      </c>
    </row>
    <row r="10" spans="1:12" ht="15" customHeight="1" x14ac:dyDescent="0.25">
      <c r="A10" s="472" t="s">
        <v>15</v>
      </c>
      <c r="B10" s="473" t="s">
        <v>16</v>
      </c>
    </row>
    <row r="11" spans="1:12" ht="63.75" customHeight="1" x14ac:dyDescent="0.25">
      <c r="A11" s="472" t="s">
        <v>17</v>
      </c>
      <c r="B11" s="473" t="s">
        <v>18</v>
      </c>
    </row>
    <row r="12" spans="1:12" ht="63.75" hidden="1" customHeight="1" x14ac:dyDescent="0.25">
      <c r="A12" s="472" t="s">
        <v>67</v>
      </c>
      <c r="B12" s="473"/>
    </row>
    <row r="13" spans="1:12" ht="15" customHeight="1" x14ac:dyDescent="0.25">
      <c r="A13" s="472" t="s">
        <v>11</v>
      </c>
      <c r="B13" s="473" t="s">
        <v>12</v>
      </c>
    </row>
    <row r="14" spans="1:12" ht="30.75" customHeight="1" x14ac:dyDescent="0.25">
      <c r="A14" s="474" t="s">
        <v>19</v>
      </c>
      <c r="B14" s="473" t="s">
        <v>20</v>
      </c>
    </row>
    <row r="15" spans="1:12" ht="32.25" customHeight="1" x14ac:dyDescent="0.25">
      <c r="A15" s="474" t="s">
        <v>21</v>
      </c>
      <c r="B15" s="473" t="s">
        <v>22</v>
      </c>
    </row>
    <row r="16" spans="1:12" ht="31.5" customHeight="1" x14ac:dyDescent="0.25">
      <c r="A16" s="474" t="s">
        <v>23</v>
      </c>
      <c r="B16" s="473" t="s">
        <v>24</v>
      </c>
    </row>
    <row r="17" spans="1:2" ht="61.5" customHeight="1" x14ac:dyDescent="0.25">
      <c r="A17" s="474" t="s">
        <v>25</v>
      </c>
      <c r="B17" s="473" t="s">
        <v>26</v>
      </c>
    </row>
    <row r="18" spans="1:2" ht="61.5" hidden="1" customHeight="1" x14ac:dyDescent="0.25">
      <c r="A18" s="474" t="s">
        <v>581</v>
      </c>
      <c r="B18" s="473"/>
    </row>
    <row r="19" spans="1:2" ht="49.5" customHeight="1" x14ac:dyDescent="0.25">
      <c r="A19" s="474" t="s">
        <v>27</v>
      </c>
      <c r="B19" s="473" t="s">
        <v>28</v>
      </c>
    </row>
    <row r="20" spans="1:2" ht="49.5" hidden="1" customHeight="1" x14ac:dyDescent="0.25">
      <c r="A20" s="474" t="s">
        <v>596</v>
      </c>
      <c r="B20" s="473"/>
    </row>
    <row r="21" spans="1:2" ht="49.5" hidden="1" customHeight="1" x14ac:dyDescent="0.25">
      <c r="A21" s="474" t="s">
        <v>78</v>
      </c>
      <c r="B21" s="473"/>
    </row>
    <row r="22" spans="1:2" ht="50.25" customHeight="1" x14ac:dyDescent="0.25">
      <c r="A22" s="474" t="s">
        <v>29</v>
      </c>
      <c r="B22" s="473" t="s">
        <v>30</v>
      </c>
    </row>
    <row r="23" spans="1:2" ht="50.25" hidden="1" customHeight="1" x14ac:dyDescent="0.25">
      <c r="A23" s="474" t="s">
        <v>80</v>
      </c>
      <c r="B23" s="473"/>
    </row>
    <row r="24" spans="1:2" ht="50.25" hidden="1" customHeight="1" x14ac:dyDescent="0.25">
      <c r="A24" s="474" t="s">
        <v>81</v>
      </c>
      <c r="B24" s="473"/>
    </row>
    <row r="25" spans="1:2" ht="47.25" customHeight="1" x14ac:dyDescent="0.25">
      <c r="A25" s="474" t="s">
        <v>31</v>
      </c>
      <c r="B25" s="473" t="s">
        <v>32</v>
      </c>
    </row>
    <row r="26" spans="1:2" ht="47.25" hidden="1" customHeight="1" x14ac:dyDescent="0.25">
      <c r="A26" s="474" t="s">
        <v>597</v>
      </c>
      <c r="B26" s="473"/>
    </row>
    <row r="27" spans="1:2" ht="47.25" hidden="1" customHeight="1" x14ac:dyDescent="0.25">
      <c r="A27" s="474" t="s">
        <v>81</v>
      </c>
      <c r="B27" s="473"/>
    </row>
    <row r="28" spans="1:2" ht="31.5" customHeight="1" x14ac:dyDescent="0.25">
      <c r="A28" s="474" t="s">
        <v>33</v>
      </c>
      <c r="B28" s="473" t="s">
        <v>34</v>
      </c>
    </row>
    <row r="29" spans="1:2" ht="31.5" hidden="1" customHeight="1" x14ac:dyDescent="0.25">
      <c r="A29" s="474" t="s">
        <v>598</v>
      </c>
      <c r="B29" s="473"/>
    </row>
    <row r="30" spans="1:2" ht="45.75" customHeight="1" x14ac:dyDescent="0.25">
      <c r="A30" s="474" t="s">
        <v>35</v>
      </c>
      <c r="B30" s="473" t="s">
        <v>36</v>
      </c>
    </row>
    <row r="31" spans="1:2" ht="33" customHeight="1" x14ac:dyDescent="0.25">
      <c r="A31" s="474" t="s">
        <v>39</v>
      </c>
      <c r="B31" s="473" t="s">
        <v>40</v>
      </c>
    </row>
    <row r="32" spans="1:2" ht="32.25" customHeight="1" x14ac:dyDescent="0.25">
      <c r="A32" s="474" t="s">
        <v>41</v>
      </c>
      <c r="B32" s="473" t="s">
        <v>42</v>
      </c>
    </row>
    <row r="33" spans="1:2" ht="31.5" customHeight="1" x14ac:dyDescent="0.25">
      <c r="A33" s="474" t="s">
        <v>43</v>
      </c>
      <c r="B33" s="473" t="s">
        <v>44</v>
      </c>
    </row>
    <row r="34" spans="1:2" ht="31.5" customHeight="1" x14ac:dyDescent="0.25">
      <c r="A34" s="474" t="s">
        <v>45</v>
      </c>
      <c r="B34" s="473" t="s">
        <v>46</v>
      </c>
    </row>
    <row r="35" spans="1:2" ht="31.5" customHeight="1" x14ac:dyDescent="0.25">
      <c r="A35" s="474" t="s">
        <v>47</v>
      </c>
      <c r="B35" s="473" t="s">
        <v>48</v>
      </c>
    </row>
    <row r="36" spans="1:2" ht="31.5" hidden="1" customHeight="1" x14ac:dyDescent="0.25">
      <c r="A36" s="474" t="s">
        <v>599</v>
      </c>
      <c r="B36" s="473"/>
    </row>
    <row r="37" spans="1:2" ht="31.5" hidden="1" customHeight="1" x14ac:dyDescent="0.25">
      <c r="A37" s="474" t="s">
        <v>600</v>
      </c>
      <c r="B37" s="473"/>
    </row>
    <row r="38" spans="1:2" ht="31.5" hidden="1" customHeight="1" x14ac:dyDescent="0.25">
      <c r="A38" s="474" t="s">
        <v>600</v>
      </c>
      <c r="B38" s="473"/>
    </row>
    <row r="39" spans="1:2" ht="31.5" customHeight="1" x14ac:dyDescent="0.25">
      <c r="A39" s="474" t="s">
        <v>49</v>
      </c>
      <c r="B39" s="473" t="s">
        <v>50</v>
      </c>
    </row>
    <row r="40" spans="1:2" ht="48" customHeight="1" x14ac:dyDescent="0.25">
      <c r="A40" s="474" t="s">
        <v>51</v>
      </c>
      <c r="B40" s="473" t="s">
        <v>52</v>
      </c>
    </row>
    <row r="41" spans="1:2" ht="32.25" customHeight="1" x14ac:dyDescent="0.25">
      <c r="A41" s="474" t="s">
        <v>53</v>
      </c>
      <c r="B41" s="473" t="s">
        <v>54</v>
      </c>
    </row>
    <row r="42" spans="1:2" ht="15" customHeight="1" x14ac:dyDescent="0.25">
      <c r="A42" s="474" t="s">
        <v>37</v>
      </c>
      <c r="B42" s="473" t="s">
        <v>38</v>
      </c>
    </row>
    <row r="43" spans="1:2" ht="32.25" customHeight="1" x14ac:dyDescent="0.25">
      <c r="A43" s="474" t="s">
        <v>55</v>
      </c>
      <c r="B43" s="473" t="s">
        <v>56</v>
      </c>
    </row>
    <row r="44" spans="1:2" ht="15.75" x14ac:dyDescent="0.25">
      <c r="A44" s="479" t="s">
        <v>57</v>
      </c>
      <c r="B44" s="479" t="s">
        <v>57</v>
      </c>
    </row>
    <row r="45" spans="1:2" ht="33.75" customHeight="1" x14ac:dyDescent="0.25">
      <c r="A45" s="475" t="s">
        <v>58</v>
      </c>
      <c r="B45" s="475" t="s">
        <v>58</v>
      </c>
    </row>
    <row r="46" spans="1:2" ht="15" customHeight="1" x14ac:dyDescent="0.25">
      <c r="A46" s="475" t="s">
        <v>59</v>
      </c>
      <c r="B46" s="475" t="s">
        <v>59</v>
      </c>
    </row>
    <row r="47" spans="1:2" ht="15" customHeight="1" x14ac:dyDescent="0.25">
      <c r="A47" s="475" t="s">
        <v>60</v>
      </c>
      <c r="B47" s="475" t="s">
        <v>60</v>
      </c>
    </row>
    <row r="48" spans="1:2" ht="15" customHeight="1" x14ac:dyDescent="0.25">
      <c r="A48" s="475" t="s">
        <v>61</v>
      </c>
      <c r="B48" s="475" t="s">
        <v>61</v>
      </c>
    </row>
    <row r="49" spans="1:2" ht="15" customHeight="1" x14ac:dyDescent="0.25">
      <c r="A49" s="475" t="s">
        <v>62</v>
      </c>
      <c r="B49" s="475" t="s">
        <v>62</v>
      </c>
    </row>
    <row r="50" spans="1:2" s="477" customFormat="1" ht="62.25" customHeight="1" x14ac:dyDescent="0.25">
      <c r="A50" s="476" t="s">
        <v>63</v>
      </c>
      <c r="B50" s="476" t="s">
        <v>63</v>
      </c>
    </row>
    <row r="51" spans="1:2" ht="33" customHeight="1" x14ac:dyDescent="0.25">
      <c r="A51" s="476" t="s">
        <v>64</v>
      </c>
      <c r="B51" s="476" t="s">
        <v>65</v>
      </c>
    </row>
    <row r="52" spans="1:2" ht="33" customHeight="1" x14ac:dyDescent="0.25">
      <c r="A52" s="476" t="s">
        <v>66</v>
      </c>
      <c r="B52" s="476" t="s">
        <v>66</v>
      </c>
    </row>
    <row r="53" spans="1:2" x14ac:dyDescent="0.25">
      <c r="A53" s="478"/>
    </row>
  </sheetData>
  <mergeCells count="1">
    <mergeCell ref="C2:L2"/>
  </mergeCells>
  <printOptions horizontalCentered="1"/>
  <pageMargins left="0.78740157480314965" right="0.78740157480314965" top="0.78740157480314965" bottom="0.78740157480314965" header="0.31496062992125984" footer="0.31496062992125984"/>
  <pageSetup scale="43" orientation="portrait" r:id="rId1"/>
  <headerFooter>
    <oddHeader>&amp;L&amp;G&amp;RMAPA DE RIESGOS DE SEGURIDAD DE LA INFORMACIÓN
Código: A-FO-248
Versión: 02
Fecha: Abril 20 de 2023</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002060"/>
  </sheetPr>
  <dimension ref="A4:CD55"/>
  <sheetViews>
    <sheetView showGridLines="0" tabSelected="1" zoomScale="70" zoomScaleNormal="70" zoomScalePageLayoutView="40" workbookViewId="0">
      <selection activeCell="D5" sqref="D5"/>
    </sheetView>
  </sheetViews>
  <sheetFormatPr baseColWidth="10" defaultColWidth="11.42578125" defaultRowHeight="15" x14ac:dyDescent="0.2"/>
  <cols>
    <col min="1" max="2" width="11.42578125" style="123"/>
    <col min="3" max="3" width="28.7109375" style="126" bestFit="1" customWidth="1"/>
    <col min="4" max="4" width="58.42578125" style="127" customWidth="1"/>
    <col min="5" max="5" width="29.5703125" style="127" customWidth="1"/>
    <col min="6" max="6" width="36.42578125" style="126" bestFit="1" customWidth="1"/>
    <col min="7" max="7" width="35.7109375" style="126" customWidth="1"/>
    <col min="8" max="8" width="29.140625" style="126" bestFit="1" customWidth="1"/>
    <col min="9" max="10" width="32.42578125" style="123" customWidth="1"/>
    <col min="11" max="11" width="34.28515625" style="128" customWidth="1"/>
    <col min="12" max="12" width="32.85546875" style="128" customWidth="1"/>
    <col min="13" max="13" width="33.140625" style="128" customWidth="1"/>
    <col min="14" max="14" width="64.7109375" style="123" customWidth="1"/>
    <col min="15" max="15" width="34.5703125" style="123" bestFit="1" customWidth="1"/>
    <col min="16" max="16" width="19.7109375" style="123" customWidth="1"/>
    <col min="17" max="17" width="36.7109375" style="123" bestFit="1" customWidth="1"/>
    <col min="18" max="18" width="30.5703125" style="123" hidden="1" customWidth="1"/>
    <col min="19" max="20" width="34.5703125" style="123" bestFit="1" customWidth="1"/>
    <col min="21" max="21" width="35.7109375" style="123" customWidth="1"/>
    <col min="22" max="22" width="32.28515625" style="123" customWidth="1"/>
    <col min="23" max="23" width="59.28515625" style="123" bestFit="1" customWidth="1"/>
    <col min="24" max="24" width="21.7109375" style="123" customWidth="1"/>
    <col min="25" max="25" width="20.85546875" style="123" customWidth="1"/>
    <col min="26" max="26" width="21.42578125" style="123" customWidth="1"/>
    <col min="27" max="27" width="20.42578125" style="123" customWidth="1"/>
    <col min="28" max="28" width="18.28515625" style="123" customWidth="1"/>
    <col min="29" max="29" width="20.28515625" style="123" customWidth="1"/>
    <col min="30" max="30" width="18.140625" style="123" customWidth="1"/>
    <col min="31" max="31" width="18.7109375" style="123" customWidth="1"/>
    <col min="32" max="32" width="19.28515625" style="129" customWidth="1"/>
    <col min="33" max="33" width="43.140625" style="129" customWidth="1"/>
    <col min="34" max="34" width="13.7109375" style="129" bestFit="1" customWidth="1"/>
    <col min="35" max="35" width="23.42578125" style="123" customWidth="1"/>
    <col min="36" max="36" width="23.28515625" style="123" customWidth="1"/>
    <col min="37" max="37" width="23.140625" style="123" customWidth="1"/>
    <col min="38" max="38" width="24.5703125" style="123" customWidth="1"/>
    <col min="39" max="39" width="22.85546875" style="123" customWidth="1"/>
    <col min="40" max="40" width="23.140625" style="123" customWidth="1"/>
    <col min="41" max="41" width="25.5703125" style="123" customWidth="1"/>
    <col min="42" max="42" width="48" style="123" customWidth="1"/>
    <col min="43" max="43" width="44.42578125" style="129" customWidth="1"/>
    <col min="44" max="44" width="43.85546875" style="129" customWidth="1"/>
    <col min="45" max="45" width="37.28515625" style="129" customWidth="1"/>
    <col min="46" max="46" width="48.85546875" style="129" customWidth="1"/>
    <col min="47" max="47" width="22.7109375" style="123" customWidth="1"/>
    <col min="48" max="48" width="19.28515625" style="123" customWidth="1"/>
    <col min="49" max="49" width="18.5703125" style="123" customWidth="1"/>
    <col min="50" max="50" width="21" style="123" customWidth="1"/>
    <col min="51" max="16384" width="11.42578125" style="123"/>
  </cols>
  <sheetData>
    <row r="4" spans="1:82" ht="30" customHeight="1" thickBot="1" x14ac:dyDescent="0.25">
      <c r="AT4" s="185"/>
      <c r="AU4" s="185"/>
      <c r="AV4" s="185"/>
      <c r="AW4" s="185"/>
      <c r="AX4" s="185"/>
    </row>
    <row r="5" spans="1:82" ht="91.5" customHeight="1" thickBot="1" x14ac:dyDescent="0.25">
      <c r="A5" s="139"/>
      <c r="B5" s="139"/>
      <c r="C5" s="189" t="s">
        <v>67</v>
      </c>
      <c r="D5" s="189" t="s">
        <v>67</v>
      </c>
      <c r="E5" s="190" t="s">
        <v>67</v>
      </c>
      <c r="F5" s="189" t="s">
        <v>67</v>
      </c>
      <c r="G5" s="191" t="s">
        <v>67</v>
      </c>
      <c r="H5" s="189" t="s">
        <v>67</v>
      </c>
      <c r="I5" s="190" t="s">
        <v>67</v>
      </c>
      <c r="J5" s="285" t="s">
        <v>580</v>
      </c>
      <c r="K5" s="189" t="s">
        <v>67</v>
      </c>
      <c r="L5" s="189" t="s">
        <v>67</v>
      </c>
      <c r="M5" s="189" t="s">
        <v>67</v>
      </c>
      <c r="N5" s="189" t="s">
        <v>67</v>
      </c>
      <c r="O5" s="192" t="s">
        <v>68</v>
      </c>
      <c r="P5" s="193" t="s">
        <v>68</v>
      </c>
      <c r="Q5" s="192" t="s">
        <v>68</v>
      </c>
      <c r="R5" s="194"/>
      <c r="S5" s="192" t="s">
        <v>68</v>
      </c>
      <c r="T5" s="192" t="s">
        <v>68</v>
      </c>
      <c r="U5" s="195" t="s">
        <v>68</v>
      </c>
      <c r="V5" s="262" t="s">
        <v>69</v>
      </c>
      <c r="W5" s="196" t="s">
        <v>69</v>
      </c>
      <c r="X5" s="262" t="s">
        <v>69</v>
      </c>
      <c r="Y5" s="262" t="s">
        <v>69</v>
      </c>
      <c r="Z5" s="262" t="s">
        <v>69</v>
      </c>
      <c r="AA5" s="262" t="s">
        <v>69</v>
      </c>
      <c r="AB5" s="262" t="s">
        <v>69</v>
      </c>
      <c r="AC5" s="262" t="s">
        <v>69</v>
      </c>
      <c r="AD5" s="262" t="s">
        <v>69</v>
      </c>
      <c r="AE5" s="262" t="s">
        <v>69</v>
      </c>
      <c r="AF5" s="262" t="s">
        <v>69</v>
      </c>
      <c r="AG5" s="262" t="s">
        <v>69</v>
      </c>
      <c r="AH5" s="262" t="s">
        <v>69</v>
      </c>
      <c r="AI5" s="262" t="s">
        <v>69</v>
      </c>
      <c r="AJ5" s="272" t="s">
        <v>70</v>
      </c>
      <c r="AK5" s="272" t="s">
        <v>70</v>
      </c>
      <c r="AL5" s="272" t="s">
        <v>70</v>
      </c>
      <c r="AM5" s="272" t="s">
        <v>70</v>
      </c>
      <c r="AN5" s="272" t="s">
        <v>70</v>
      </c>
      <c r="AO5" s="272" t="s">
        <v>70</v>
      </c>
      <c r="AP5" s="197" t="s">
        <v>71</v>
      </c>
      <c r="AQ5" s="197" t="s">
        <v>71</v>
      </c>
      <c r="AR5" s="197" t="s">
        <v>71</v>
      </c>
      <c r="AS5" s="197" t="s">
        <v>71</v>
      </c>
      <c r="AT5" s="197" t="s">
        <v>71</v>
      </c>
      <c r="AU5" s="197" t="s">
        <v>71</v>
      </c>
      <c r="AV5" s="197" t="s">
        <v>71</v>
      </c>
      <c r="AW5" s="197" t="s">
        <v>71</v>
      </c>
      <c r="AX5" s="197" t="s">
        <v>71</v>
      </c>
      <c r="AY5" s="148"/>
      <c r="AZ5" s="148"/>
      <c r="BA5" s="148"/>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row>
    <row r="6" spans="1:82" s="125" customFormat="1" ht="124.5" customHeight="1" thickBot="1" x14ac:dyDescent="0.3">
      <c r="A6" s="140"/>
      <c r="B6" s="140"/>
      <c r="C6" s="279" t="s">
        <v>72</v>
      </c>
      <c r="D6" s="141" t="s">
        <v>73</v>
      </c>
      <c r="E6" s="142" t="s">
        <v>74</v>
      </c>
      <c r="F6" s="141" t="s">
        <v>547</v>
      </c>
      <c r="G6" s="142" t="s">
        <v>75</v>
      </c>
      <c r="H6" s="141" t="s">
        <v>76</v>
      </c>
      <c r="I6" s="142" t="s">
        <v>77</v>
      </c>
      <c r="J6" s="141" t="s">
        <v>581</v>
      </c>
      <c r="K6" s="141" t="s">
        <v>550</v>
      </c>
      <c r="L6" s="142" t="s">
        <v>549</v>
      </c>
      <c r="M6" s="150" t="s">
        <v>78</v>
      </c>
      <c r="N6" s="141" t="s">
        <v>79</v>
      </c>
      <c r="O6" s="142" t="s">
        <v>80</v>
      </c>
      <c r="P6" s="150" t="s">
        <v>81</v>
      </c>
      <c r="Q6" s="141" t="s">
        <v>82</v>
      </c>
      <c r="R6" s="143"/>
      <c r="S6" s="145" t="s">
        <v>83</v>
      </c>
      <c r="T6" s="150" t="s">
        <v>81</v>
      </c>
      <c r="U6" s="142" t="s">
        <v>33</v>
      </c>
      <c r="V6" s="141" t="s">
        <v>84</v>
      </c>
      <c r="W6" s="142" t="s">
        <v>35</v>
      </c>
      <c r="X6" s="150" t="s">
        <v>85</v>
      </c>
      <c r="Y6" s="142" t="s">
        <v>548</v>
      </c>
      <c r="Z6" s="141" t="s">
        <v>557</v>
      </c>
      <c r="AA6" s="142" t="s">
        <v>556</v>
      </c>
      <c r="AB6" s="141" t="s">
        <v>555</v>
      </c>
      <c r="AC6" s="146" t="s">
        <v>552</v>
      </c>
      <c r="AD6" s="141" t="s">
        <v>86</v>
      </c>
      <c r="AE6" s="141" t="s">
        <v>553</v>
      </c>
      <c r="AF6" s="141" t="s">
        <v>87</v>
      </c>
      <c r="AG6" s="141" t="s">
        <v>554</v>
      </c>
      <c r="AH6" s="241" t="s">
        <v>88</v>
      </c>
      <c r="AI6" s="150" t="s">
        <v>89</v>
      </c>
      <c r="AJ6" s="142" t="s">
        <v>90</v>
      </c>
      <c r="AK6" s="144" t="s">
        <v>81</v>
      </c>
      <c r="AL6" s="146" t="s">
        <v>91</v>
      </c>
      <c r="AM6" s="144" t="s">
        <v>81</v>
      </c>
      <c r="AN6" s="147" t="s">
        <v>92</v>
      </c>
      <c r="AO6" s="141" t="s">
        <v>53</v>
      </c>
      <c r="AP6" s="141" t="s">
        <v>71</v>
      </c>
      <c r="AQ6" s="141" t="s">
        <v>93</v>
      </c>
      <c r="AR6" s="141" t="s">
        <v>94</v>
      </c>
      <c r="AS6" s="141" t="s">
        <v>95</v>
      </c>
      <c r="AT6" s="141" t="s">
        <v>96</v>
      </c>
      <c r="AU6" s="141" t="s">
        <v>97</v>
      </c>
      <c r="AV6" s="141" t="s">
        <v>98</v>
      </c>
      <c r="AW6" s="141" t="s">
        <v>99</v>
      </c>
      <c r="AX6" s="141" t="s">
        <v>55</v>
      </c>
      <c r="AY6" s="149"/>
      <c r="AZ6" s="149"/>
      <c r="BA6" s="149"/>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row>
    <row r="7" spans="1:82" s="131" customFormat="1" ht="103.5" customHeight="1" thickBot="1" x14ac:dyDescent="0.3">
      <c r="C7" s="182">
        <v>1</v>
      </c>
      <c r="D7" s="160" t="s">
        <v>100</v>
      </c>
      <c r="E7" s="161" t="s">
        <v>101</v>
      </c>
      <c r="F7" s="211" t="s">
        <v>102</v>
      </c>
      <c r="G7" s="273" t="s">
        <v>103</v>
      </c>
      <c r="H7" s="211" t="s">
        <v>104</v>
      </c>
      <c r="I7" s="280" t="s">
        <v>560</v>
      </c>
      <c r="J7" s="287" t="s">
        <v>582</v>
      </c>
      <c r="K7" s="160" t="s">
        <v>105</v>
      </c>
      <c r="L7" s="162" t="s">
        <v>106</v>
      </c>
      <c r="M7" s="213" t="s">
        <v>107</v>
      </c>
      <c r="N7" s="172" t="s">
        <v>108</v>
      </c>
      <c r="O7" s="219" t="str">
        <f t="shared" ref="O7:O12" si="0">IF(N7&lt;=0,"",IF(N7&lt;="La actividad que conlleva el riesgo se ejecuta como máximos 2 veces por año","Muy Baja",IF(N7="La actividad que conlleva el riesgo se ejecuta de 3 a 24 veces por año","Baja",IF(N7="La actividad que conlleva el riesgo se ejecuta de 24 a 500 veces por año","Media",IF(N7="La actividad que conlleva el riesgo se ejecuta mínimo 500 veces al año y máximo 5000 veces por año","Alta","Muy Alta")))))</f>
        <v>Baja</v>
      </c>
      <c r="P7" s="215">
        <f>IF(O7="","",IF(O7="Muy Baja",0.2,IF(O7="Baja",0.4,IF(O7="Media",0.6,IF(O7="Alta",0.8,IF(O7="Muy Alta",1,))))))</f>
        <v>0.4</v>
      </c>
      <c r="Q7" s="175" t="s">
        <v>109</v>
      </c>
      <c r="R7" s="151" t="str">
        <f>IF(NOT(ISERROR(MATCH(Q7,'Tabla Impacto'!$B$221:$B$223,0))),'Tabla Impacto'!$F$223&amp;"Por favor no seleccionar los criterios de impacto(Afectación Económica o presupuestal y Pérdida Reputacional)",Q7)</f>
        <v xml:space="preserve">     El riesgo afecta la imagen de la entidad con algunos usuarios de relevancia frente al logro de los objetivos</v>
      </c>
      <c r="S7" s="229" t="str">
        <f>IF(OR(R7='Tabla Impacto'!$C$11,R7='Tabla Impacto'!$D$11),"Leve",IF(OR(R7='Tabla Impacto'!$C$12,R7='Tabla Impacto'!$D$12),"Menor",IF(OR(R7='Tabla Impacto'!$C$13,R7='Tabla Impacto'!$D$13),"Moderado",IF(OR(R7='Tabla Impacto'!$C$14,R7='Tabla Impacto'!$D$14),"Mayor",IF(OR(R7='Tabla Impacto'!$C$15,R7='Tabla Impacto'!$D$15),"Catastrófico","")))))</f>
        <v>Moderado</v>
      </c>
      <c r="T7" s="215">
        <f t="shared" ref="T7:T17" si="1">IF(S7="","",IF(S7="Leve",0.2,IF(S7="Menor",0.4,IF(S7="Moderado",0.6,IF(S7="Mayor",0.8,IF(S7="Catastrófico",1,))))))</f>
        <v>0.6</v>
      </c>
      <c r="U7" s="253" t="str">
        <f t="shared" ref="U7:U17" si="2">IF(OR(AND(O7="Muy Baja",S7="Leve"),AND(O7="Muy Baja",S7="Menor"),AND(O7="Baja",S7="Leve")),"Bajo",IF(OR(AND(O7="Muy baja",S7="Moderado"),AND(O7="Baja",S7="Menor"),AND(O7="Baja",S7="Moderado"),AND(O7="Media",S7="Leve"),AND(O7="Media",S7="Menor"),AND(O7="Media",S7="Moderado"),AND(O7="Alta",S7="Leve"),AND(O7="Alta",S7="Menor")),"Moderado",IF(OR(AND(O7="Muy Baja",S7="Mayor"),AND(O7="Baja",S7="Mayor"),AND(O7="Media",S7="Mayor"),AND(O7="Alta",S7="Moderado"),AND(O7="Alta",S7="Mayor"),AND(O7="Muy Alta",S7="Leve"),AND(O7="Muy Alta",S7="Menor"),AND(O7="Muy Alta",S7="Moderado"),AND(O7="Muy Alta",S7="Mayor")),"Alto",IF(OR(AND(O7="Muy Baja",S7="Catastrófico"),AND(O7="Baja",S7="Catastrófico"),AND(O7="Media",S7="Catastrófico"),AND(O7="Alta",S7="Catastrófico"),AND(O7="Muy Alta",S7="Catastrófico")),"Extremo",""))))</f>
        <v>Moderado</v>
      </c>
      <c r="V7" s="187">
        <v>1</v>
      </c>
      <c r="W7" s="180" t="s">
        <v>110</v>
      </c>
      <c r="X7" s="182" t="s">
        <v>111</v>
      </c>
      <c r="Y7" s="236" t="s">
        <v>112</v>
      </c>
      <c r="Z7" s="198" t="str">
        <f>IF(AND(X7="Preventivo",Y7="Automático"),"50%",IF(AND(X7="Preventivo",Y7="Manual"),"40%",IF(AND(X7="Detectivo",Y7="Automático"),"40%",IF(AND(X7="Detectivo",Y7="Manual"),"30%",IF(AND(X7="Correctivo",Y7="Automático"),"35%",IF(AND(X7="Correctivo",Y7="Manual"),"25%",""))))))</f>
        <v>40%</v>
      </c>
      <c r="AA7" s="209" t="s">
        <v>113</v>
      </c>
      <c r="AB7" s="209" t="s">
        <v>114</v>
      </c>
      <c r="AC7" s="236" t="s">
        <v>115</v>
      </c>
      <c r="AD7" s="199">
        <f>IFERROR(IF(AE7="Probabilidad",(P7-(+P7*Z7)),IF(AE7="Impacto",P7,"")),"")</f>
        <v>0.24</v>
      </c>
      <c r="AE7" s="199" t="str">
        <f>IF(OR(X7="Preventivo",X7="Detectivo"),"Probabilidad",IF(X7="Correctivo","Impacto",""))</f>
        <v>Probabilidad</v>
      </c>
      <c r="AF7" s="200" t="s">
        <v>116</v>
      </c>
      <c r="AG7" s="166" t="s">
        <v>117</v>
      </c>
      <c r="AH7" s="200" t="s">
        <v>118</v>
      </c>
      <c r="AI7" s="263" t="s">
        <v>119</v>
      </c>
      <c r="AJ7" s="220" t="str">
        <f>IFERROR(IF(AD7="","",IF(AD7&lt;=0.2,"Muy Baja",IF(AD7&lt;=0.4,"Baja",IF(AD7&lt;=0.6,"Media",IF(AD7&lt;=0.8,"Alta","Muy Alta"))))),"")</f>
        <v>Baja</v>
      </c>
      <c r="AK7" s="247">
        <f t="shared" ref="AK7:AK9" si="3">+AD7</f>
        <v>0.24</v>
      </c>
      <c r="AL7" s="220" t="str">
        <f>IFERROR(IF(AM7="","",IF(AM7&lt;=0.2,"Leve",IF(AM7&lt;=0.4,"Menor",IF(AM7&lt;=0.6,"Moderado",IF(AM7&lt;=0.8,"Mayor","Catastrófico"))))),"")</f>
        <v>Moderado</v>
      </c>
      <c r="AM7" s="247">
        <f>IFERROR(IF(AE7="Impacto",(T7-(+T7*Z7)),IF(AE7="Probabilidad",T7,"")),"")</f>
        <v>0.6</v>
      </c>
      <c r="AN7" s="252" t="str">
        <f t="shared" ref="AN7:AN18" si="4">IFERROR(IF(OR(AND(AJ7="Muy Baja",AL7="Leve"),AND(AJ7="Muy Baja",AL7="Menor"),AND(AJ7="Baja",AL7="Leve")),"Bajo",IF(OR(AND(AJ7="Muy baja",AL7="Moderado"),AND(AJ7="Baja",AL7="Menor"),AND(AJ7="Baja",AL7="Moderado"),AND(AJ7="Media",AL7="Leve"),AND(AJ7="Media",AL7="Menor"),AND(AJ7="Media",AL7="Moderado"),AND(AJ7="Alta",AL7="Leve"),AND(AJ7="Alta",AL7="Menor")),"Moderado",IF(OR(AND(AJ7="Muy Baja",AL7="Mayor"),AND(AJ7="Baja",AL7="Mayor"),AND(AJ7="Media",AL7="Mayor"),AND(AJ7="Alta",AL7="Moderado"),AND(AJ7="Alta",AL7="Mayor"),AND(AJ7="Muy Alta",AL7="Leve"),AND(AJ7="Muy Alta",AL7="Menor"),AND(AJ7="Muy Alta",AL7="Moderado"),AND(AJ7="Muy Alta",AL7="Mayor")),"Alto",IF(OR(AND(AJ7="Muy Baja",AL7="Catastrófico"),AND(AJ7="Baja",AL7="Catastrófico"),AND(AJ7="Media",AL7="Catastrófico"),AND(AJ7="Alta",AL7="Catastrófico"),AND(AJ7="Muy Alta",AL7="Catastrófico")),"Extremo","")))),"")</f>
        <v>Moderado</v>
      </c>
      <c r="AO7" s="228" t="s">
        <v>120</v>
      </c>
      <c r="AP7" s="211" t="s">
        <v>121</v>
      </c>
      <c r="AQ7" s="213" t="s">
        <v>122</v>
      </c>
      <c r="AR7" s="213" t="s">
        <v>123</v>
      </c>
      <c r="AS7" s="213" t="s">
        <v>124</v>
      </c>
      <c r="AT7" s="213" t="s">
        <v>125</v>
      </c>
      <c r="AU7" s="243">
        <v>44562</v>
      </c>
      <c r="AV7" s="243">
        <v>44896</v>
      </c>
      <c r="AW7" s="243" t="s">
        <v>118</v>
      </c>
      <c r="AX7" s="187" t="s">
        <v>126</v>
      </c>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row>
    <row r="8" spans="1:82" s="131" customFormat="1" ht="90" customHeight="1" thickBot="1" x14ac:dyDescent="0.3">
      <c r="C8" s="184">
        <v>2</v>
      </c>
      <c r="D8" s="154" t="s">
        <v>127</v>
      </c>
      <c r="E8" s="155" t="s">
        <v>101</v>
      </c>
      <c r="F8" s="212" t="s">
        <v>102</v>
      </c>
      <c r="G8" s="274" t="s">
        <v>128</v>
      </c>
      <c r="H8" s="212" t="s">
        <v>104</v>
      </c>
      <c r="I8" s="281" t="s">
        <v>576</v>
      </c>
      <c r="J8" s="287" t="s">
        <v>582</v>
      </c>
      <c r="K8" s="154" t="s">
        <v>105</v>
      </c>
      <c r="L8" s="186" t="s">
        <v>106</v>
      </c>
      <c r="M8" s="211" t="s">
        <v>129</v>
      </c>
      <c r="N8" s="160" t="s">
        <v>130</v>
      </c>
      <c r="O8" s="220" t="str">
        <f t="shared" si="0"/>
        <v>Media</v>
      </c>
      <c r="P8" s="216">
        <f t="shared" ref="P8:P12" si="5">IF(O8="","",IF(O8="Muy Baja",0.2,IF(O8="Baja",0.4,IF(O8="Media",0.6,IF(O8="Alta",0.8,IF(O8="Muy Alta",1,))))))</f>
        <v>0.6</v>
      </c>
      <c r="Q8" s="165" t="s">
        <v>131</v>
      </c>
      <c r="R8" s="293" t="str">
        <f>IF(NOT(ISERROR(MATCH(Q8,'Tabla Impacto'!$B$221:$B$223,0))),'Tabla Impacto'!$F$223&amp;"Por favor no seleccionar los criterios de impacto(Afectación Económica o presupuestal y Pérdida Reputacional)",Q8)</f>
        <v xml:space="preserve">     El riesgo afecta la imagen de la entidad a nivel nacional, con efecto publicitarios sostenible a nivel país</v>
      </c>
      <c r="S8" s="220" t="str">
        <f>IF(OR(R8='Tabla Impacto'!$C$11,R8='Tabla Impacto'!$D$11),"Leve",IF(OR(R8='Tabla Impacto'!$C$12,R8='Tabla Impacto'!$D$12),"Menor",IF(OR(R8='Tabla Impacto'!$C$13,R8='Tabla Impacto'!$D$13),"Moderado",IF(OR(R8='Tabla Impacto'!$C$14,R8='Tabla Impacto'!$D$14),"Mayor",IF(OR(R8='Tabla Impacto'!$C$15,R8='Tabla Impacto'!$D$15),"Catastrófico","")))))</f>
        <v>Catastrófico</v>
      </c>
      <c r="T8" s="216">
        <f t="shared" si="1"/>
        <v>1</v>
      </c>
      <c r="U8" s="252" t="str">
        <f t="shared" si="2"/>
        <v>Extremo</v>
      </c>
      <c r="V8" s="182">
        <v>1</v>
      </c>
      <c r="W8" s="160" t="s">
        <v>132</v>
      </c>
      <c r="X8" s="182" t="s">
        <v>111</v>
      </c>
      <c r="Y8" s="235" t="s">
        <v>112</v>
      </c>
      <c r="Z8" s="198" t="str">
        <f>IF(AND(X8="Preventivo",Y8="Automático"),"50%",IF(AND(X8="Preventivo",Y8="Manual"),"40%",IF(AND(X8="Detectivo",Y8="Automático"),"40%",IF(AND(X8="Detectivo",Y8="Manual"),"30%",IF(AND(X8="Correctivo",Y8="Automático"),"35%",IF(AND(X8="Correctivo",Y8="Manual"),"25%",""))))))</f>
        <v>40%</v>
      </c>
      <c r="AA8" s="209" t="s">
        <v>113</v>
      </c>
      <c r="AB8" s="209" t="s">
        <v>114</v>
      </c>
      <c r="AC8" s="235" t="s">
        <v>115</v>
      </c>
      <c r="AD8" s="199">
        <f>IFERROR(IF(AE8="Probabilidad",(P8-(+P8*Z8)),IF(AE8="Impacto",P8,"")),"")</f>
        <v>0.36</v>
      </c>
      <c r="AE8" s="199" t="str">
        <f t="shared" ref="AE8:AE29" si="6">IF(OR(X8="Preventivo",X8="Detectivo"),"Probabilidad",IF(X8="Correctivo","Impacto",""))</f>
        <v>Probabilidad</v>
      </c>
      <c r="AF8" s="200" t="s">
        <v>133</v>
      </c>
      <c r="AG8" s="166" t="s">
        <v>117</v>
      </c>
      <c r="AH8" s="200" t="s">
        <v>118</v>
      </c>
      <c r="AI8" s="263" t="s">
        <v>134</v>
      </c>
      <c r="AJ8" s="220" t="str">
        <f>IFERROR(IF(AD8="","",IF(AD8&lt;=0.2,"Muy Baja",IF(AD8&lt;=0.4,"Baja",IF(AD8&lt;=0.6,"Media",IF(AD8&lt;=0.8,"Alta","Muy Alta"))))),"")</f>
        <v>Baja</v>
      </c>
      <c r="AK8" s="247">
        <f t="shared" si="3"/>
        <v>0.36</v>
      </c>
      <c r="AL8" s="220" t="str">
        <f t="shared" ref="AL8:AL29" si="7">IFERROR(IF(AM8="","",IF(AM8&lt;=0.2,"Leve",IF(AM8&lt;=0.4,"Menor",IF(AM8&lt;=0.6,"Moderado",IF(AM8&lt;=0.8,"Mayor","Catastrófico"))))),"")</f>
        <v>Catastrófico</v>
      </c>
      <c r="AM8" s="247">
        <f>IFERROR(IF(AE8="Impacto",(T8-(+T8*Z8)),IF(AE8="Probabilidad",T8,"")),"")</f>
        <v>1</v>
      </c>
      <c r="AN8" s="252" t="str">
        <f t="shared" si="4"/>
        <v>Extremo</v>
      </c>
      <c r="AO8" s="228" t="s">
        <v>120</v>
      </c>
      <c r="AP8" s="211" t="s">
        <v>135</v>
      </c>
      <c r="AQ8" s="211" t="s">
        <v>122</v>
      </c>
      <c r="AR8" s="211" t="s">
        <v>136</v>
      </c>
      <c r="AS8" s="211" t="s">
        <v>137</v>
      </c>
      <c r="AT8" s="211" t="s">
        <v>138</v>
      </c>
      <c r="AU8" s="242">
        <v>44562</v>
      </c>
      <c r="AV8" s="242">
        <v>44896</v>
      </c>
      <c r="AW8" s="242" t="s">
        <v>118</v>
      </c>
      <c r="AX8" s="182" t="s">
        <v>126</v>
      </c>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row>
    <row r="9" spans="1:82" s="131" customFormat="1" ht="60.75" thickBot="1" x14ac:dyDescent="0.3">
      <c r="C9" s="182">
        <v>3</v>
      </c>
      <c r="D9" s="160" t="s">
        <v>127</v>
      </c>
      <c r="E9" s="161" t="s">
        <v>101</v>
      </c>
      <c r="F9" s="211" t="s">
        <v>102</v>
      </c>
      <c r="G9" s="273" t="s">
        <v>128</v>
      </c>
      <c r="H9" s="211" t="s">
        <v>104</v>
      </c>
      <c r="I9" s="280" t="s">
        <v>577</v>
      </c>
      <c r="J9" s="287" t="s">
        <v>582</v>
      </c>
      <c r="K9" s="160" t="s">
        <v>105</v>
      </c>
      <c r="L9" s="160" t="s">
        <v>106</v>
      </c>
      <c r="M9" s="211" t="s">
        <v>129</v>
      </c>
      <c r="N9" s="160" t="s">
        <v>130</v>
      </c>
      <c r="O9" s="220" t="str">
        <f t="shared" si="0"/>
        <v>Media</v>
      </c>
      <c r="P9" s="216">
        <f t="shared" si="5"/>
        <v>0.6</v>
      </c>
      <c r="Q9" s="165" t="s">
        <v>131</v>
      </c>
      <c r="R9" s="293" t="str">
        <f ca="1">IF(NOT(ISERROR(MATCH(Q9,_xlfn.ANCHORARRAY(I12),0))),P14&amp;"Por favor no seleccionar los criterios de impacto",Q9)</f>
        <v xml:space="preserve">     El riesgo afecta la imagen de la entidad a nivel nacional, con efecto publicitarios sostenible a nivel país</v>
      </c>
      <c r="S9" s="220" t="str">
        <f ca="1">IF(OR(R9='Tabla Impacto'!$C$11,R9='Tabla Impacto'!$D$11),"Leve",IF(OR(R9='Tabla Impacto'!$C$12,R9='Tabla Impacto'!$D$12),"Menor",IF(OR(R9='Tabla Impacto'!$C$13,R9='Tabla Impacto'!$D$13),"Moderado",IF(OR(R9='Tabla Impacto'!$C$14,R9='Tabla Impacto'!$D$14),"Mayor",IF(OR(R9='Tabla Impacto'!$C$15,R9='Tabla Impacto'!$D$15),"Catastrófico","")))))</f>
        <v>Catastrófico</v>
      </c>
      <c r="T9" s="216">
        <f t="shared" ca="1" si="1"/>
        <v>1</v>
      </c>
      <c r="U9" s="256" t="str">
        <f t="shared" ca="1" si="2"/>
        <v>Extremo</v>
      </c>
      <c r="V9" s="182">
        <v>2</v>
      </c>
      <c r="W9" s="160" t="s">
        <v>139</v>
      </c>
      <c r="X9" s="182" t="s">
        <v>111</v>
      </c>
      <c r="Y9" s="235" t="s">
        <v>112</v>
      </c>
      <c r="Z9" s="198" t="str">
        <f t="shared" ref="Z9" si="8">IF(AND(X9="Preventivo",Y9="Automático"),"50%",IF(AND(X9="Preventivo",Y9="Manual"),"40%",IF(AND(X9="Detectivo",Y9="Automático"),"40%",IF(AND(X9="Detectivo",Y9="Manual"),"30%",IF(AND(X9="Correctivo",Y9="Automático"),"35%",IF(AND(X9="Correctivo",Y9="Manual"),"25%",""))))))</f>
        <v>40%</v>
      </c>
      <c r="AA9" s="209" t="s">
        <v>113</v>
      </c>
      <c r="AB9" s="209" t="s">
        <v>114</v>
      </c>
      <c r="AC9" s="235" t="s">
        <v>115</v>
      </c>
      <c r="AD9" s="199">
        <f>IFERROR(IF(AND(AE8="Probabilidad",AE9="Probabilidad"),(AK8-(+AK8*Z9)),IF(AE9="Probabilidad",(P8-(+P8*Z9)),IF(AE9="Impacto",AK8,""))),"")</f>
        <v>0.216</v>
      </c>
      <c r="AE9" s="199" t="str">
        <f t="shared" si="6"/>
        <v>Probabilidad</v>
      </c>
      <c r="AF9" s="200" t="s">
        <v>133</v>
      </c>
      <c r="AG9" s="169" t="s">
        <v>117</v>
      </c>
      <c r="AH9" s="200" t="s">
        <v>118</v>
      </c>
      <c r="AI9" s="263" t="s">
        <v>134</v>
      </c>
      <c r="AJ9" s="220" t="str">
        <f>IFERROR(IF(AD9="","",IF(AD9&lt;=0.2,"Muy Baja",IF(AD9&lt;=0.4,"Baja",IF(AD9&lt;=0.6,"Media",IF(AD9&lt;=0.8,"Alta","Muy Alta"))))),"")</f>
        <v>Baja</v>
      </c>
      <c r="AK9" s="247">
        <f t="shared" si="3"/>
        <v>0.216</v>
      </c>
      <c r="AL9" s="220" t="str">
        <f t="shared" si="7"/>
        <v>Catastrófico</v>
      </c>
      <c r="AM9" s="247">
        <f>IFERROR(IF(AND(AE8="Impacto",AE9="Impacto"),(AM8-(+AM8*Z9)),IF(AE9="Impacto",($T$8-(+$T$8*AE9)),IF(AE9="Probabilidad",AM8,""))),"")</f>
        <v>1</v>
      </c>
      <c r="AN9" s="253" t="str">
        <f t="shared" si="4"/>
        <v>Extremo</v>
      </c>
      <c r="AO9" s="228" t="s">
        <v>120</v>
      </c>
      <c r="AP9" s="213" t="s">
        <v>135</v>
      </c>
      <c r="AQ9" s="213" t="s">
        <v>122</v>
      </c>
      <c r="AR9" s="213" t="s">
        <v>123</v>
      </c>
      <c r="AS9" s="213" t="s">
        <v>124</v>
      </c>
      <c r="AT9" s="213" t="s">
        <v>125</v>
      </c>
      <c r="AU9" s="243">
        <v>44562</v>
      </c>
      <c r="AV9" s="243">
        <v>44896</v>
      </c>
      <c r="AW9" s="243" t="s">
        <v>118</v>
      </c>
      <c r="AX9" s="187" t="s">
        <v>126</v>
      </c>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row>
    <row r="10" spans="1:82" s="131" customFormat="1" ht="135.75" thickBot="1" x14ac:dyDescent="0.3">
      <c r="C10" s="187">
        <v>4</v>
      </c>
      <c r="D10" s="172" t="s">
        <v>140</v>
      </c>
      <c r="E10" s="174" t="s">
        <v>141</v>
      </c>
      <c r="F10" s="213" t="s">
        <v>102</v>
      </c>
      <c r="G10" s="275" t="s">
        <v>142</v>
      </c>
      <c r="H10" s="213" t="s">
        <v>143</v>
      </c>
      <c r="I10" s="282" t="s">
        <v>578</v>
      </c>
      <c r="J10" s="287" t="s">
        <v>582</v>
      </c>
      <c r="K10" s="172" t="s">
        <v>105</v>
      </c>
      <c r="L10" s="188" t="s">
        <v>144</v>
      </c>
      <c r="M10" s="213" t="s">
        <v>145</v>
      </c>
      <c r="N10" s="172" t="s">
        <v>130</v>
      </c>
      <c r="O10" s="219" t="str">
        <f t="shared" si="0"/>
        <v>Media</v>
      </c>
      <c r="P10" s="215">
        <f t="shared" si="5"/>
        <v>0.6</v>
      </c>
      <c r="Q10" s="175" t="s">
        <v>109</v>
      </c>
      <c r="R10" s="294" t="str">
        <f>IF(NOT(ISERROR(MATCH(Q10,'Tabla Impacto'!$B$221:$B$223,0))),'Tabla Impacto'!$F$223&amp;"Por favor no seleccionar los criterios de impacto(Afectación Económica o presupuestal y Pérdida Reputacional)",Q10)</f>
        <v xml:space="preserve">     El riesgo afecta la imagen de la entidad con algunos usuarios de relevancia frente al logro de los objetivos</v>
      </c>
      <c r="S10" s="229" t="str">
        <f>IF(OR(R10='Tabla Impacto'!$C$11,R10='Tabla Impacto'!$D$11),"Leve",IF(OR(R10='Tabla Impacto'!$C$12,R10='Tabla Impacto'!$D$12),"Menor",IF(OR(R10='Tabla Impacto'!$C$13,R10='Tabla Impacto'!$D$13),"Moderado",IF(OR(R10='Tabla Impacto'!$C$14,R10='Tabla Impacto'!$D$14),"Mayor",IF(OR(R10='Tabla Impacto'!$C$15,R10='Tabla Impacto'!$D$15),"Catastrófico","")))))</f>
        <v>Moderado</v>
      </c>
      <c r="T10" s="215">
        <f t="shared" si="1"/>
        <v>0.6</v>
      </c>
      <c r="U10" s="257" t="str">
        <f t="shared" si="2"/>
        <v>Moderado</v>
      </c>
      <c r="V10" s="182">
        <v>1</v>
      </c>
      <c r="W10" s="160" t="s">
        <v>146</v>
      </c>
      <c r="X10" s="182" t="s">
        <v>111</v>
      </c>
      <c r="Y10" s="235" t="s">
        <v>112</v>
      </c>
      <c r="Z10" s="198" t="str">
        <f>IF(AND(X10="Preventivo",Y10="Automático"),"50%",IF(AND(X10="Preventivo",Y10="Manual"),"40%",IF(AND(X10="Detectivo",Y10="Automático"),"40%",IF(AND(X10="Detectivo",Y10="Manual"),"30%",IF(AND(X10="Correctivo",Y10="Automático"),"35%",IF(AND(X10="Correctivo",Y10="Manual"),"25%",""))))))</f>
        <v>40%</v>
      </c>
      <c r="AA10" s="209" t="s">
        <v>147</v>
      </c>
      <c r="AB10" s="209" t="s">
        <v>148</v>
      </c>
      <c r="AC10" s="235" t="s">
        <v>115</v>
      </c>
      <c r="AD10" s="199">
        <f>IFERROR(IF(AE10="Probabilidad",(P10-(+P10*Z10)),IF(AE10="Impacto",P10,"")),"")</f>
        <v>0.36</v>
      </c>
      <c r="AE10" s="199" t="str">
        <f t="shared" si="6"/>
        <v>Probabilidad</v>
      </c>
      <c r="AF10" s="200" t="s">
        <v>149</v>
      </c>
      <c r="AG10" s="166" t="s">
        <v>150</v>
      </c>
      <c r="AH10" s="268">
        <v>44197</v>
      </c>
      <c r="AI10" s="263" t="s">
        <v>134</v>
      </c>
      <c r="AJ10" s="220" t="str">
        <f t="shared" ref="AJ10:AJ19" si="9">IFERROR(IF(AD10="","",IF(AD10&lt;=0.2,"Muy Baja",IF(AD10&lt;=0.4,"Baja",IF(AD10&lt;=0.6,"Media",IF(AD10&lt;=0.8,"Alta","Muy Alta"))))),"")</f>
        <v>Baja</v>
      </c>
      <c r="AK10" s="248">
        <f t="shared" ref="AK10:AK18" si="10">+AD10</f>
        <v>0.36</v>
      </c>
      <c r="AL10" s="250" t="str">
        <f t="shared" si="7"/>
        <v>Moderado</v>
      </c>
      <c r="AM10" s="247">
        <f>IFERROR(IF(AE10="Impacto",(T10-(+T10*Z10)),IF(AE10="Probabilidad",T10,"")),"")</f>
        <v>0.6</v>
      </c>
      <c r="AN10" s="254" t="str">
        <f t="shared" si="4"/>
        <v>Moderado</v>
      </c>
      <c r="AO10" s="228" t="s">
        <v>120</v>
      </c>
      <c r="AP10" s="211" t="s">
        <v>151</v>
      </c>
      <c r="AQ10" s="211" t="s">
        <v>152</v>
      </c>
      <c r="AR10" s="211" t="s">
        <v>153</v>
      </c>
      <c r="AS10" s="211" t="s">
        <v>154</v>
      </c>
      <c r="AT10" s="211" t="s">
        <v>155</v>
      </c>
      <c r="AU10" s="242">
        <v>44562</v>
      </c>
      <c r="AV10" s="242">
        <v>44896</v>
      </c>
      <c r="AW10" s="242" t="s">
        <v>118</v>
      </c>
      <c r="AX10" s="182" t="s">
        <v>126</v>
      </c>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row>
    <row r="11" spans="1:82" s="131" customFormat="1" ht="135.75" thickBot="1" x14ac:dyDescent="0.3">
      <c r="B11" s="170"/>
      <c r="C11" s="182">
        <v>5</v>
      </c>
      <c r="D11" s="160" t="s">
        <v>140</v>
      </c>
      <c r="E11" s="160" t="s">
        <v>141</v>
      </c>
      <c r="F11" s="211" t="s">
        <v>102</v>
      </c>
      <c r="G11" s="211" t="s">
        <v>142</v>
      </c>
      <c r="H11" s="211" t="s">
        <v>143</v>
      </c>
      <c r="I11" s="284" t="s">
        <v>578</v>
      </c>
      <c r="J11" s="287" t="s">
        <v>582</v>
      </c>
      <c r="K11" s="160" t="s">
        <v>105</v>
      </c>
      <c r="L11" s="160" t="s">
        <v>144</v>
      </c>
      <c r="M11" s="211" t="s">
        <v>145</v>
      </c>
      <c r="N11" s="160" t="s">
        <v>130</v>
      </c>
      <c r="O11" s="220" t="str">
        <f t="shared" si="0"/>
        <v>Media</v>
      </c>
      <c r="P11" s="216">
        <f t="shared" si="5"/>
        <v>0.6</v>
      </c>
      <c r="Q11" s="165" t="s">
        <v>109</v>
      </c>
      <c r="R11" s="293" t="str">
        <f ca="1">IF(NOT(ISERROR(MATCH(Q11,_xlfn.ANCHORARRAY(I15),0))),#REF!&amp;"Por favor no seleccionar los criterios de impacto",Q11)</f>
        <v xml:space="preserve">     El riesgo afecta la imagen de la entidad con algunos usuarios de relevancia frente al logro de los objetivos</v>
      </c>
      <c r="S11" s="220" t="str">
        <f ca="1">IF(OR(R11='Tabla Impacto'!$C$11,R11='Tabla Impacto'!$D$11),"Leve",IF(OR(R11='Tabla Impacto'!$C$12,R11='Tabla Impacto'!$D$12),"Menor",IF(OR(R11='Tabla Impacto'!$C$13,R11='Tabla Impacto'!$D$13),"Moderado",IF(OR(R11='Tabla Impacto'!$C$14,R11='Tabla Impacto'!$D$14),"Mayor",IF(OR(R11='Tabla Impacto'!$C$15,R11='Tabla Impacto'!$D$15),"Catastrófico","")))))</f>
        <v>Moderado</v>
      </c>
      <c r="T11" s="216">
        <f t="shared" ca="1" si="1"/>
        <v>0.6</v>
      </c>
      <c r="U11" s="252" t="str">
        <f t="shared" ca="1" si="2"/>
        <v>Moderado</v>
      </c>
      <c r="V11" s="187">
        <v>2</v>
      </c>
      <c r="W11" s="174" t="s">
        <v>156</v>
      </c>
      <c r="X11" s="187" t="s">
        <v>111</v>
      </c>
      <c r="Y11" s="235" t="s">
        <v>112</v>
      </c>
      <c r="Z11" s="198" t="str">
        <f t="shared" ref="Z11" si="11">IF(AND(X11="Preventivo",Y11="Automático"),"50%",IF(AND(X11="Preventivo",Y11="Manual"),"40%",IF(AND(X11="Detectivo",Y11="Automático"),"40%",IF(AND(X11="Detectivo",Y11="Manual"),"30%",IF(AND(X11="Correctivo",Y11="Automático"),"35%",IF(AND(X11="Correctivo",Y11="Manual"),"25%",""))))))</f>
        <v>40%</v>
      </c>
      <c r="AA11" s="209" t="s">
        <v>147</v>
      </c>
      <c r="AB11" s="209" t="s">
        <v>148</v>
      </c>
      <c r="AC11" s="235" t="s">
        <v>115</v>
      </c>
      <c r="AD11" s="199">
        <f>IFERROR(IF(AND(AE10="Probabilidad",AE11="Probabilidad"),(AK10-(+AK10*Z11)),IF(AE11="Probabilidad",(P10-(+P10*Z11)),IF(AE11="Impacto",AK10,""))),"")</f>
        <v>0.216</v>
      </c>
      <c r="AE11" s="199" t="str">
        <f t="shared" si="6"/>
        <v>Probabilidad</v>
      </c>
      <c r="AF11" s="201" t="s">
        <v>157</v>
      </c>
      <c r="AG11" s="166" t="s">
        <v>150</v>
      </c>
      <c r="AH11" s="268">
        <v>44409</v>
      </c>
      <c r="AI11" s="263" t="s">
        <v>134</v>
      </c>
      <c r="AJ11" s="220" t="str">
        <f t="shared" si="9"/>
        <v>Baja</v>
      </c>
      <c r="AK11" s="247">
        <f t="shared" si="10"/>
        <v>0.216</v>
      </c>
      <c r="AL11" s="251" t="str">
        <f t="shared" si="7"/>
        <v>Moderado</v>
      </c>
      <c r="AM11" s="247">
        <f>IFERROR(IF(AND(AE10="Impacto",AE11="Impacto"),(AM10-(+AM10*Z11)),IF(AE11="Impacto",($T$8-(+$T$8*AE11)),IF(AE11="Probabilidad",AM10,""))),"")</f>
        <v>0.6</v>
      </c>
      <c r="AN11" s="252" t="str">
        <f t="shared" si="4"/>
        <v>Moderado</v>
      </c>
      <c r="AO11" s="228" t="s">
        <v>120</v>
      </c>
      <c r="AP11" s="211" t="s">
        <v>151</v>
      </c>
      <c r="AQ11" s="211" t="s">
        <v>152</v>
      </c>
      <c r="AR11" s="211" t="s">
        <v>153</v>
      </c>
      <c r="AS11" s="214" t="s">
        <v>154</v>
      </c>
      <c r="AT11" s="213" t="s">
        <v>155</v>
      </c>
      <c r="AU11" s="243">
        <v>44562</v>
      </c>
      <c r="AV11" s="243">
        <v>44896</v>
      </c>
      <c r="AW11" s="243" t="s">
        <v>118</v>
      </c>
      <c r="AX11" s="187" t="s">
        <v>126</v>
      </c>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row>
    <row r="12" spans="1:82" s="131" customFormat="1" ht="135.75" thickBot="1" x14ac:dyDescent="0.3">
      <c r="C12" s="183">
        <v>6</v>
      </c>
      <c r="D12" s="157" t="s">
        <v>158</v>
      </c>
      <c r="E12" s="158" t="s">
        <v>159</v>
      </c>
      <c r="F12" s="214" t="s">
        <v>102</v>
      </c>
      <c r="G12" s="276" t="s">
        <v>160</v>
      </c>
      <c r="H12" s="214" t="s">
        <v>161</v>
      </c>
      <c r="I12" s="283" t="s">
        <v>579</v>
      </c>
      <c r="J12" s="287" t="s">
        <v>582</v>
      </c>
      <c r="K12" s="157" t="s">
        <v>105</v>
      </c>
      <c r="L12" s="181" t="s">
        <v>106</v>
      </c>
      <c r="M12" s="211" t="s">
        <v>162</v>
      </c>
      <c r="N12" s="160" t="s">
        <v>108</v>
      </c>
      <c r="O12" s="221" t="str">
        <f t="shared" si="0"/>
        <v>Baja</v>
      </c>
      <c r="P12" s="216">
        <f t="shared" si="5"/>
        <v>0.4</v>
      </c>
      <c r="Q12" s="165" t="s">
        <v>109</v>
      </c>
      <c r="R12" s="293" t="str">
        <f>IF(NOT(ISERROR(MATCH(Q12,'Tabla Impacto'!$B$221:$B$223,0))),'Tabla Impacto'!$F$223&amp;"Por favor no seleccionar los criterios de impacto(Afectación Económica o presupuestal y Pérdida Reputacional)",Q12)</f>
        <v xml:space="preserve">     El riesgo afecta la imagen de la entidad con algunos usuarios de relevancia frente al logro de los objetivos</v>
      </c>
      <c r="S12" s="224" t="str">
        <f>IF(OR(R12='Tabla Impacto'!$C$11,R12='Tabla Impacto'!$D$11),"Leve",IF(OR(R12='Tabla Impacto'!$C$12,R12='Tabla Impacto'!$D$12),"Menor",IF(OR(R12='Tabla Impacto'!$C$13,R12='Tabla Impacto'!$D$13),"Moderado",IF(OR(R12='Tabla Impacto'!$C$14,R12='Tabla Impacto'!$D$14),"Mayor",IF(OR(R12='Tabla Impacto'!$C$15,R12='Tabla Impacto'!$D$15),"Catastrófico","")))))</f>
        <v>Moderado</v>
      </c>
      <c r="T12" s="216">
        <f t="shared" si="1"/>
        <v>0.6</v>
      </c>
      <c r="U12" s="253" t="str">
        <f t="shared" si="2"/>
        <v>Moderado</v>
      </c>
      <c r="V12" s="182">
        <v>1</v>
      </c>
      <c r="W12" s="180" t="s">
        <v>163</v>
      </c>
      <c r="X12" s="182" t="s">
        <v>111</v>
      </c>
      <c r="Y12" s="235" t="s">
        <v>164</v>
      </c>
      <c r="Z12" s="198" t="str">
        <f>IF(AND(X12="Preventivo",Y12="Automático"),"50%",IF(AND(X12="Preventivo",Y12="Manual"),"40%",IF(AND(X12="Detectivo",Y12="Automático"),"40%",IF(AND(X12="Detectivo",Y12="Manual"),"30%",IF(AND(X12="Correctivo",Y12="Automático"),"35%",IF(AND(X12="Correctivo",Y12="Manual"),"25%",""))))))</f>
        <v>50%</v>
      </c>
      <c r="AA12" s="209" t="s">
        <v>113</v>
      </c>
      <c r="AB12" s="209" t="s">
        <v>148</v>
      </c>
      <c r="AC12" s="235" t="s">
        <v>115</v>
      </c>
      <c r="AD12" s="199">
        <f>IFERROR(IF(AE12="Probabilidad",(P12-(+P12*Z12)),IF(AE12="Impacto",P12,"")),"")</f>
        <v>0.2</v>
      </c>
      <c r="AE12" s="199" t="str">
        <f t="shared" si="6"/>
        <v>Probabilidad</v>
      </c>
      <c r="AF12" s="202" t="s">
        <v>165</v>
      </c>
      <c r="AG12" s="166" t="s">
        <v>166</v>
      </c>
      <c r="AH12" s="200" t="s">
        <v>167</v>
      </c>
      <c r="AI12" s="263" t="s">
        <v>134</v>
      </c>
      <c r="AJ12" s="220" t="str">
        <f t="shared" si="9"/>
        <v>Muy Baja</v>
      </c>
      <c r="AK12" s="247">
        <f t="shared" si="10"/>
        <v>0.2</v>
      </c>
      <c r="AL12" s="221" t="str">
        <f t="shared" si="7"/>
        <v>Moderado</v>
      </c>
      <c r="AM12" s="247">
        <f>IFERROR(IF(AE12="Impacto",(T12-(+T12*Z12)),IF(AE12="Probabilidad",T12,"")),"")</f>
        <v>0.6</v>
      </c>
      <c r="AN12" s="255" t="str">
        <f t="shared" si="4"/>
        <v>Moderado</v>
      </c>
      <c r="AO12" s="228" t="s">
        <v>120</v>
      </c>
      <c r="AP12" s="211" t="s">
        <v>168</v>
      </c>
      <c r="AQ12" s="211" t="s">
        <v>169</v>
      </c>
      <c r="AR12" s="211" t="s">
        <v>123</v>
      </c>
      <c r="AS12" s="211" t="s">
        <v>124</v>
      </c>
      <c r="AT12" s="211" t="s">
        <v>125</v>
      </c>
      <c r="AU12" s="242">
        <v>44562</v>
      </c>
      <c r="AV12" s="242">
        <v>44896</v>
      </c>
      <c r="AW12" s="242" t="s">
        <v>118</v>
      </c>
      <c r="AX12" s="182" t="s">
        <v>126</v>
      </c>
      <c r="AY12" s="178"/>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row>
    <row r="13" spans="1:82" s="131" customFormat="1" ht="135.75" thickBot="1" x14ac:dyDescent="0.3">
      <c r="C13" s="182">
        <v>7</v>
      </c>
      <c r="D13" s="160" t="s">
        <v>158</v>
      </c>
      <c r="E13" s="161" t="s">
        <v>159</v>
      </c>
      <c r="F13" s="211" t="s">
        <v>102</v>
      </c>
      <c r="G13" s="273" t="s">
        <v>160</v>
      </c>
      <c r="H13" s="211" t="s">
        <v>161</v>
      </c>
      <c r="I13" s="280" t="s">
        <v>559</v>
      </c>
      <c r="J13" s="287" t="s">
        <v>582</v>
      </c>
      <c r="K13" s="160" t="s">
        <v>105</v>
      </c>
      <c r="L13" s="162" t="s">
        <v>106</v>
      </c>
      <c r="M13" s="214" t="s">
        <v>162</v>
      </c>
      <c r="N13" s="159" t="s">
        <v>108</v>
      </c>
      <c r="O13" s="220" t="str">
        <f t="shared" ref="O13:O14" si="12">IF(N13&lt;=0,"",IF(N13&lt;="La actividad que conlleva el riesgo se ejecuta como máximos 2 veces por año","Muy Baja",IF(N13="La actividad que conlleva el riesgo se ejecuta de 3 a 24 veces por año","Baja",IF(N13="La actividad que conlleva el riesgo se ejecuta de 24 a 500 veces por año","Media",IF(N13="La actividad que conlleva el riesgo se ejecuta mínimo 500 veces al año y máximo 5000 veces por año","Alta","Muy Alta")))))</f>
        <v>Baja</v>
      </c>
      <c r="P13" s="216">
        <f t="shared" ref="P13:P14" si="13">IF(O13="","",IF(O13="Muy Baja",0.2,IF(O13="Baja",0.4,IF(O13="Media",0.6,IF(O13="Alta",0.8,IF(O13="Muy Alta",1,))))))</f>
        <v>0.4</v>
      </c>
      <c r="Q13" s="165" t="s">
        <v>109</v>
      </c>
      <c r="R13" s="294" t="str">
        <f ca="1">IF(NOT(ISERROR(MATCH(Q13,_xlfn.ANCHORARRAY(I17),0))),#REF!&amp;"Por favor no seleccionar los criterios de impacto",Q13)</f>
        <v xml:space="preserve">     El riesgo afecta la imagen de la entidad con algunos usuarios de relevancia frente al logro de los objetivos</v>
      </c>
      <c r="S13" s="230" t="str">
        <f ca="1">IF(OR(R13='Tabla Impacto'!$C$11,R13='Tabla Impacto'!$D$11),"Leve",IF(OR(R13='Tabla Impacto'!$C$12,R13='Tabla Impacto'!$D$12),"Menor",IF(OR(R13='Tabla Impacto'!$C$13,R13='Tabla Impacto'!$D$13),"Moderado",IF(OR(R13='Tabla Impacto'!$C$14,R13='Tabla Impacto'!$D$14),"Mayor",IF(OR(R13='Tabla Impacto'!$C$15,R13='Tabla Impacto'!$D$15),"Catastrófico","")))))</f>
        <v>Moderado</v>
      </c>
      <c r="T13" s="216">
        <f t="shared" ca="1" si="1"/>
        <v>0.6</v>
      </c>
      <c r="U13" s="252" t="str">
        <f t="shared" ca="1" si="2"/>
        <v>Moderado</v>
      </c>
      <c r="V13" s="182">
        <v>2</v>
      </c>
      <c r="W13" s="174" t="s">
        <v>170</v>
      </c>
      <c r="X13" s="182" t="s">
        <v>171</v>
      </c>
      <c r="Y13" s="235" t="s">
        <v>164</v>
      </c>
      <c r="Z13" s="198" t="str">
        <f t="shared" ref="Z13:Z14" si="14">IF(AND(X13="Preventivo",Y13="Automático"),"50%",IF(AND(X13="Preventivo",Y13="Manual"),"40%",IF(AND(X13="Detectivo",Y13="Automático"),"40%",IF(AND(X13="Detectivo",Y13="Manual"),"30%",IF(AND(X13="Correctivo",Y13="Automático"),"35%",IF(AND(X13="Correctivo",Y13="Manual"),"25%",""))))))</f>
        <v>40%</v>
      </c>
      <c r="AA13" s="209" t="s">
        <v>113</v>
      </c>
      <c r="AB13" s="209" t="s">
        <v>114</v>
      </c>
      <c r="AC13" s="235" t="s">
        <v>115</v>
      </c>
      <c r="AD13" s="199">
        <f>IFERROR(IF(AND(AE12="Probabilidad",AE13="Probabilidad"),(AK12-(+AK12*Z13)),IF(AE13="Probabilidad",(P12-(+P12*Z13)),IF(AE13="Impacto",AK12,""))),"")</f>
        <v>0.12</v>
      </c>
      <c r="AE13" s="199" t="str">
        <f t="shared" si="6"/>
        <v>Probabilidad</v>
      </c>
      <c r="AF13" s="200" t="s">
        <v>172</v>
      </c>
      <c r="AG13" s="166" t="s">
        <v>166</v>
      </c>
      <c r="AH13" s="200" t="s">
        <v>167</v>
      </c>
      <c r="AI13" s="263" t="s">
        <v>134</v>
      </c>
      <c r="AJ13" s="220" t="str">
        <f t="shared" si="9"/>
        <v>Muy Baja</v>
      </c>
      <c r="AK13" s="248">
        <f t="shared" si="10"/>
        <v>0.12</v>
      </c>
      <c r="AL13" s="219" t="str">
        <f t="shared" si="7"/>
        <v>Moderado</v>
      </c>
      <c r="AM13" s="247">
        <f>IFERROR(IF(AND(AE12="Impacto",AE13="Impacto"),(AM12-(+AM12*Z13)),IF(AE13="Impacto",($T$8-(+$T$8*AE13)),IF(AE13="Probabilidad",AM12,""))),"")</f>
        <v>0.6</v>
      </c>
      <c r="AN13" s="253" t="str">
        <f t="shared" si="4"/>
        <v>Moderado</v>
      </c>
      <c r="AO13" s="228" t="s">
        <v>120</v>
      </c>
      <c r="AP13" s="213" t="s">
        <v>168</v>
      </c>
      <c r="AQ13" s="213" t="s">
        <v>169</v>
      </c>
      <c r="AR13" s="213" t="s">
        <v>123</v>
      </c>
      <c r="AS13" s="213" t="s">
        <v>124</v>
      </c>
      <c r="AT13" s="213" t="s">
        <v>125</v>
      </c>
      <c r="AU13" s="243">
        <v>44562</v>
      </c>
      <c r="AV13" s="243">
        <v>44896</v>
      </c>
      <c r="AW13" s="243" t="s">
        <v>118</v>
      </c>
      <c r="AX13" s="187" t="s">
        <v>126</v>
      </c>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row>
    <row r="14" spans="1:82" s="131" customFormat="1" ht="135.75" thickBot="1" x14ac:dyDescent="0.3">
      <c r="C14" s="182">
        <v>8</v>
      </c>
      <c r="D14" s="160" t="s">
        <v>158</v>
      </c>
      <c r="E14" s="161" t="s">
        <v>159</v>
      </c>
      <c r="F14" s="211" t="s">
        <v>102</v>
      </c>
      <c r="G14" s="273" t="s">
        <v>160</v>
      </c>
      <c r="H14" s="211" t="s">
        <v>161</v>
      </c>
      <c r="I14" s="282" t="s">
        <v>558</v>
      </c>
      <c r="J14" s="287" t="s">
        <v>582</v>
      </c>
      <c r="K14" s="172" t="s">
        <v>105</v>
      </c>
      <c r="L14" s="174" t="s">
        <v>106</v>
      </c>
      <c r="M14" s="213" t="s">
        <v>162</v>
      </c>
      <c r="N14" s="173" t="s">
        <v>108</v>
      </c>
      <c r="O14" s="219" t="str">
        <f t="shared" si="12"/>
        <v>Baja</v>
      </c>
      <c r="P14" s="215">
        <f t="shared" si="13"/>
        <v>0.4</v>
      </c>
      <c r="Q14" s="175" t="s">
        <v>109</v>
      </c>
      <c r="R14" s="295" t="str">
        <f ca="1">IF(NOT(ISERROR(MATCH(Q14,_xlfn.ANCHORARRAY(I18),0))),P19&amp;"Por favor no seleccionar los criterios de impacto",Q14)</f>
        <v xml:space="preserve">     El riesgo afecta la imagen de la entidad con algunos usuarios de relevancia frente al logro de los objetivos</v>
      </c>
      <c r="S14" s="231" t="str">
        <f ca="1">IF(OR(R14='Tabla Impacto'!$C$11,R14='Tabla Impacto'!$D$11),"Leve",IF(OR(R14='Tabla Impacto'!$C$12,R14='Tabla Impacto'!$D$12),"Menor",IF(OR(R14='Tabla Impacto'!$C$13,R14='Tabla Impacto'!$D$13),"Moderado",IF(OR(R14='Tabla Impacto'!$C$14,R14='Tabla Impacto'!$D$14),"Mayor",IF(OR(R14='Tabla Impacto'!$C$15,R14='Tabla Impacto'!$D$15),"Catastrófico","")))))</f>
        <v>Moderado</v>
      </c>
      <c r="T14" s="215">
        <f t="shared" ca="1" si="1"/>
        <v>0.6</v>
      </c>
      <c r="U14" s="253" t="str">
        <f t="shared" ca="1" si="2"/>
        <v>Moderado</v>
      </c>
      <c r="V14" s="182">
        <v>3</v>
      </c>
      <c r="W14" s="160" t="s">
        <v>173</v>
      </c>
      <c r="X14" s="187" t="s">
        <v>111</v>
      </c>
      <c r="Y14" s="235" t="s">
        <v>164</v>
      </c>
      <c r="Z14" s="203" t="str">
        <f t="shared" si="14"/>
        <v>50%</v>
      </c>
      <c r="AA14" s="209" t="s">
        <v>113</v>
      </c>
      <c r="AB14" s="209" t="s">
        <v>148</v>
      </c>
      <c r="AC14" s="237" t="s">
        <v>115</v>
      </c>
      <c r="AD14" s="199">
        <f>IFERROR(IF(AND(AE13="Probabilidad",AE14="Probabilidad"),(AK13-(+AK13*Z14)),IF(AND(AE13="Impacto",AE14="Probabilidad"),(Z13-(+Z13*Z14)),IF(AE14="Impacto",AE13,""))),"")</f>
        <v>0.06</v>
      </c>
      <c r="AE14" s="199" t="str">
        <f t="shared" si="6"/>
        <v>Probabilidad</v>
      </c>
      <c r="AF14" s="200" t="s">
        <v>174</v>
      </c>
      <c r="AG14" s="166" t="s">
        <v>166</v>
      </c>
      <c r="AH14" s="201" t="s">
        <v>167</v>
      </c>
      <c r="AI14" s="263" t="s">
        <v>134</v>
      </c>
      <c r="AJ14" s="220" t="str">
        <f t="shared" si="9"/>
        <v>Muy Baja</v>
      </c>
      <c r="AK14" s="247">
        <f t="shared" si="10"/>
        <v>0.06</v>
      </c>
      <c r="AL14" s="220" t="str">
        <f t="shared" si="7"/>
        <v>Moderado</v>
      </c>
      <c r="AM14" s="247">
        <f>IFERROR(IF(AND(AE13="Impacto",AE14="Impacto"),(AM13-(+AM13*Z14)),IF(AND(AE13="Probabilidad",AE14="Impacto"),(AM12-(+AM12*Z14)),IF(AE14="Probabilidad",AM13,""))),"")</f>
        <v>0.6</v>
      </c>
      <c r="AN14" s="252" t="str">
        <f t="shared" si="4"/>
        <v>Moderado</v>
      </c>
      <c r="AO14" s="228" t="s">
        <v>120</v>
      </c>
      <c r="AP14" s="211" t="s">
        <v>168</v>
      </c>
      <c r="AQ14" s="211" t="s">
        <v>169</v>
      </c>
      <c r="AR14" s="211" t="s">
        <v>123</v>
      </c>
      <c r="AS14" s="211" t="s">
        <v>124</v>
      </c>
      <c r="AT14" s="211" t="s">
        <v>125</v>
      </c>
      <c r="AU14" s="242">
        <v>44562</v>
      </c>
      <c r="AV14" s="242">
        <v>44896</v>
      </c>
      <c r="AW14" s="242" t="s">
        <v>118</v>
      </c>
      <c r="AX14" s="182" t="s">
        <v>126</v>
      </c>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row>
    <row r="15" spans="1:82" s="131" customFormat="1" ht="110.25" customHeight="1" thickBot="1" x14ac:dyDescent="0.3">
      <c r="C15" s="277">
        <v>9</v>
      </c>
      <c r="D15" s="172" t="s">
        <v>175</v>
      </c>
      <c r="E15" s="174" t="s">
        <v>176</v>
      </c>
      <c r="F15" s="213" t="s">
        <v>102</v>
      </c>
      <c r="G15" s="275" t="s">
        <v>177</v>
      </c>
      <c r="H15" s="213" t="s">
        <v>178</v>
      </c>
      <c r="I15" s="284" t="s">
        <v>561</v>
      </c>
      <c r="J15" s="287" t="s">
        <v>584</v>
      </c>
      <c r="K15" s="160" t="s">
        <v>179</v>
      </c>
      <c r="L15" s="160" t="s">
        <v>180</v>
      </c>
      <c r="M15" s="211" t="s">
        <v>539</v>
      </c>
      <c r="N15" s="159" t="s">
        <v>108</v>
      </c>
      <c r="O15" s="220" t="str">
        <f>IF(N15&lt;=0,"",IF(N15&lt;="La actividad que conlleva el riesgo se ejecuta como máximos 2 veces por año","Muy Baja",IF(N15="La actividad que conlleva el riesgo se ejecuta de 3 a 24 veces por año","Baja",IF(N15="La actividad que conlleva el riesgo se ejecuta de 24 a 500 veces por año","Media",IF(N15="La actividad que conlleva el riesgo se ejecuta mínimo 500 veces al año y máximo 5000 veces por año","Alta","Muy Alta")))))</f>
        <v>Baja</v>
      </c>
      <c r="P15" s="216">
        <f>IF(O15="","",IF(O15="Muy Baja",0.2,IF(O15="Baja",0.4,IF(O15="Media",0.6,IF(O15="Alta",0.8,IF(O15="Muy Alta",1,))))))</f>
        <v>0.4</v>
      </c>
      <c r="Q15" s="165" t="s">
        <v>109</v>
      </c>
      <c r="R15" s="296" t="str">
        <f>IF(NOT(ISERROR(MATCH(Q15,'Tabla Impacto'!$B$221:$B$223,0))),'Tabla Impacto'!$F$223&amp;"Por favor no seleccionar los criterios de impacto(Afectación Económica o presupuestal y Pérdida Reputacional)",Q15)</f>
        <v xml:space="preserve">     El riesgo afecta la imagen de la entidad con algunos usuarios de relevancia frente al logro de los objetivos</v>
      </c>
      <c r="S15" s="220" t="str">
        <f>IF(OR(R15='Tabla Impacto'!$C$11,R15='Tabla Impacto'!$D$11),"Leve",IF(OR(R15='Tabla Impacto'!$C$12,R15='Tabla Impacto'!$D$12),"Menor",IF(OR(R15='Tabla Impacto'!$C$13,R15='Tabla Impacto'!$D$13),"Moderado",IF(OR(R15='Tabla Impacto'!$C$14,R15='Tabla Impacto'!$D$14),"Mayor",IF(OR(R15='Tabla Impacto'!$C$15,R15='Tabla Impacto'!$D$15),"Catastrófico","")))))</f>
        <v>Moderado</v>
      </c>
      <c r="T15" s="216">
        <f t="shared" si="1"/>
        <v>0.6</v>
      </c>
      <c r="U15" s="254" t="str">
        <f t="shared" si="2"/>
        <v>Moderado</v>
      </c>
      <c r="V15" s="182">
        <v>1</v>
      </c>
      <c r="W15" s="161" t="s">
        <v>181</v>
      </c>
      <c r="X15" s="182" t="s">
        <v>111</v>
      </c>
      <c r="Y15" s="236" t="s">
        <v>112</v>
      </c>
      <c r="Z15" s="198" t="str">
        <f>IF(AND(X15="Preventivo",Y15="Automático"),"50%",IF(AND(X15="Preventivo",Y15="Manual"),"40%",IF(AND(X15="Detectivo",Y15="Automático"),"40%",IF(AND(X15="Detectivo",Y15="Manual"),"30%",IF(AND(X15="Correctivo",Y15="Automático"),"35%",IF(AND(X15="Correctivo",Y15="Manual"),"25%",""))))))</f>
        <v>40%</v>
      </c>
      <c r="AA15" s="209" t="s">
        <v>147</v>
      </c>
      <c r="AB15" s="209" t="s">
        <v>114</v>
      </c>
      <c r="AC15" s="235" t="s">
        <v>115</v>
      </c>
      <c r="AD15" s="199">
        <f>IFERROR(IF(AE15="Probabilidad",(P15-(+P15*Z15)),IF(AE15="Impacto",P15,"")),"")</f>
        <v>0.24</v>
      </c>
      <c r="AE15" s="199" t="str">
        <f t="shared" si="6"/>
        <v>Probabilidad</v>
      </c>
      <c r="AF15" s="200" t="s">
        <v>182</v>
      </c>
      <c r="AG15" s="166" t="s">
        <v>183</v>
      </c>
      <c r="AH15" s="200" t="s">
        <v>167</v>
      </c>
      <c r="AI15" s="263" t="s">
        <v>134</v>
      </c>
      <c r="AJ15" s="220" t="str">
        <f t="shared" si="9"/>
        <v>Baja</v>
      </c>
      <c r="AK15" s="248">
        <f t="shared" si="10"/>
        <v>0.24</v>
      </c>
      <c r="AL15" s="219" t="str">
        <f t="shared" si="7"/>
        <v>Moderado</v>
      </c>
      <c r="AM15" s="247">
        <f>IFERROR(IF(AE15="Impacto",(T15-(+T15*Z15)),IF(AE15="Probabilidad",T15,"")),"")</f>
        <v>0.6</v>
      </c>
      <c r="AN15" s="254" t="str">
        <f t="shared" si="4"/>
        <v>Moderado</v>
      </c>
      <c r="AO15" s="228" t="s">
        <v>120</v>
      </c>
      <c r="AP15" s="211" t="s">
        <v>184</v>
      </c>
      <c r="AQ15" s="211" t="s">
        <v>183</v>
      </c>
      <c r="AR15" s="211" t="s">
        <v>185</v>
      </c>
      <c r="AS15" s="211" t="s">
        <v>186</v>
      </c>
      <c r="AT15" s="212" t="s">
        <v>187</v>
      </c>
      <c r="AU15" s="243">
        <v>44562</v>
      </c>
      <c r="AV15" s="243">
        <v>44896</v>
      </c>
      <c r="AW15" s="243" t="s">
        <v>118</v>
      </c>
      <c r="AX15" s="187" t="s">
        <v>126</v>
      </c>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row>
    <row r="16" spans="1:82" s="131" customFormat="1" ht="105.75" thickBot="1" x14ac:dyDescent="0.3">
      <c r="C16" s="278">
        <v>10</v>
      </c>
      <c r="D16" s="160" t="s">
        <v>175</v>
      </c>
      <c r="E16" s="160" t="s">
        <v>176</v>
      </c>
      <c r="F16" s="211" t="s">
        <v>102</v>
      </c>
      <c r="G16" s="211" t="s">
        <v>177</v>
      </c>
      <c r="H16" s="211" t="s">
        <v>178</v>
      </c>
      <c r="I16" s="284" t="s">
        <v>561</v>
      </c>
      <c r="J16" s="287" t="s">
        <v>584</v>
      </c>
      <c r="K16" s="160" t="s">
        <v>179</v>
      </c>
      <c r="L16" s="160" t="s">
        <v>180</v>
      </c>
      <c r="M16" s="211" t="s">
        <v>539</v>
      </c>
      <c r="N16" s="159" t="s">
        <v>108</v>
      </c>
      <c r="O16" s="220" t="str">
        <f>IF(N16&lt;=0,"",IF(N16&lt;="La actividad que conlleva el riesgo se ejecuta como máximos 2 veces por año","Muy Baja",IF(N16="La actividad que conlleva el riesgo se ejecuta de 3 a 24 veces por año","Baja",IF(N16="La actividad que conlleva el riesgo se ejecuta de 24 a 500 veces por año","Media",IF(N16="La actividad que conlleva el riesgo se ejecuta mínimo 500 veces al año y máximo 5000 veces por año","Alta","Muy Alta")))))</f>
        <v>Baja</v>
      </c>
      <c r="P16" s="216">
        <f>IF(O16="","",IF(O16="Muy Baja",0.2,IF(O16="Baja",0.4,IF(O16="Media",0.6,IF(O16="Alta",0.8,IF(O16="Muy Alta",1,))))))</f>
        <v>0.4</v>
      </c>
      <c r="Q16" s="165" t="s">
        <v>109</v>
      </c>
      <c r="R16" s="297" t="str">
        <f ca="1">IF(NOT(ISERROR(MATCH(Q16,_xlfn.ANCHORARRAY(I20),0))),#REF!&amp;"Por favor no seleccionar los criterios de impacto",Q16)</f>
        <v xml:space="preserve">     El riesgo afecta la imagen de la entidad con algunos usuarios de relevancia frente al logro de los objetivos</v>
      </c>
      <c r="S16" s="220" t="str">
        <f ca="1">IF(OR(R16='Tabla Impacto'!$C$11,R16='Tabla Impacto'!$D$11),"Leve",IF(OR(R16='Tabla Impacto'!$C$12,R16='Tabla Impacto'!$D$12),"Menor",IF(OR(R16='Tabla Impacto'!$C$13,R16='Tabla Impacto'!$D$13),"Moderado",IF(OR(R16='Tabla Impacto'!$C$14,R16='Tabla Impacto'!$D$14),"Mayor",IF(OR(R16='Tabla Impacto'!$C$15,R16='Tabla Impacto'!$D$15),"Catastrófico","")))))</f>
        <v>Moderado</v>
      </c>
      <c r="T16" s="216">
        <f t="shared" ca="1" si="1"/>
        <v>0.6</v>
      </c>
      <c r="U16" s="252" t="str">
        <f t="shared" ca="1" si="2"/>
        <v>Moderado</v>
      </c>
      <c r="V16" s="182">
        <v>2</v>
      </c>
      <c r="W16" s="160" t="s">
        <v>188</v>
      </c>
      <c r="X16" s="182" t="s">
        <v>111</v>
      </c>
      <c r="Y16" s="235" t="s">
        <v>112</v>
      </c>
      <c r="Z16" s="198" t="str">
        <f t="shared" ref="Z16" si="15">IF(AND(X16="Preventivo",Y16="Automático"),"50%",IF(AND(X16="Preventivo",Y16="Manual"),"40%",IF(AND(X16="Detectivo",Y16="Automático"),"40%",IF(AND(X16="Detectivo",Y16="Manual"),"30%",IF(AND(X16="Correctivo",Y16="Automático"),"35%",IF(AND(X16="Correctivo",Y16="Manual"),"25%",""))))))</f>
        <v>40%</v>
      </c>
      <c r="AA16" s="209" t="s">
        <v>113</v>
      </c>
      <c r="AB16" s="209" t="s">
        <v>114</v>
      </c>
      <c r="AC16" s="235" t="s">
        <v>115</v>
      </c>
      <c r="AD16" s="204">
        <f>IFERROR(IF(AND(AE15="Probabilidad",AE16="Probabilidad"),(AK15-(+AK15*Z16)),IF(AE16="Probabilidad",(P15-(+P15*Z16)),IF(AE16="Impacto",AK15,""))),"")</f>
        <v>0.14399999999999999</v>
      </c>
      <c r="AE16" s="199" t="str">
        <f t="shared" si="6"/>
        <v>Probabilidad</v>
      </c>
      <c r="AF16" s="200" t="s">
        <v>189</v>
      </c>
      <c r="AG16" s="166" t="s">
        <v>183</v>
      </c>
      <c r="AH16" s="200" t="s">
        <v>167</v>
      </c>
      <c r="AI16" s="263" t="s">
        <v>134</v>
      </c>
      <c r="AJ16" s="220" t="str">
        <f t="shared" si="9"/>
        <v>Muy Baja</v>
      </c>
      <c r="AK16" s="247">
        <f t="shared" si="10"/>
        <v>0.14399999999999999</v>
      </c>
      <c r="AL16" s="220" t="str">
        <f t="shared" si="7"/>
        <v>Moderado</v>
      </c>
      <c r="AM16" s="247">
        <f>IFERROR(IF(AND(AE15="Impacto",AE16="Impacto"),(AM15-(+AM15*Z16)),IF(AE16="Impacto",($T$8-(+$T$8*AE16)),IF(AE16="Probabilidad",AM15,""))),"")</f>
        <v>0.6</v>
      </c>
      <c r="AN16" s="252" t="str">
        <f t="shared" si="4"/>
        <v>Moderado</v>
      </c>
      <c r="AO16" s="228" t="s">
        <v>190</v>
      </c>
      <c r="AP16" s="242" t="s">
        <v>191</v>
      </c>
      <c r="AQ16" s="242" t="s">
        <v>191</v>
      </c>
      <c r="AR16" s="211" t="s">
        <v>192</v>
      </c>
      <c r="AS16" s="211" t="s">
        <v>193</v>
      </c>
      <c r="AT16" s="211" t="s">
        <v>193</v>
      </c>
      <c r="AU16" s="242" t="s">
        <v>134</v>
      </c>
      <c r="AV16" s="242" t="s">
        <v>134</v>
      </c>
      <c r="AW16" s="242" t="s">
        <v>134</v>
      </c>
      <c r="AX16" s="242" t="s">
        <v>134</v>
      </c>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row>
    <row r="17" spans="3:82" s="131" customFormat="1" ht="105.75" thickBot="1" x14ac:dyDescent="0.3">
      <c r="C17" s="278">
        <v>11</v>
      </c>
      <c r="D17" s="160" t="s">
        <v>194</v>
      </c>
      <c r="E17" s="160" t="s">
        <v>176</v>
      </c>
      <c r="F17" s="211" t="s">
        <v>195</v>
      </c>
      <c r="G17" s="211" t="s">
        <v>540</v>
      </c>
      <c r="H17" s="211" t="s">
        <v>196</v>
      </c>
      <c r="I17" s="284" t="s">
        <v>562</v>
      </c>
      <c r="J17" s="287" t="s">
        <v>585</v>
      </c>
      <c r="K17" s="160" t="s">
        <v>105</v>
      </c>
      <c r="L17" s="160" t="s">
        <v>144</v>
      </c>
      <c r="M17" s="211" t="s">
        <v>197</v>
      </c>
      <c r="N17" s="159" t="s">
        <v>130</v>
      </c>
      <c r="O17" s="220" t="str">
        <f>IF(N17&lt;=0,"",IF(N17&lt;="La actividad que conlleva el riesgo se ejecuta como máximos 2 veces por año","Muy Baja",IF(N17="La actividad que conlleva el riesgo se ejecuta de 3 a 24 veces por año","Baja",IF(N17="La actividad que conlleva el riesgo se ejecuta de 24 a 500 veces por año","Media",IF(N17="La actividad que conlleva el riesgo se ejecuta mínimo 500 veces al año y máximo 5000 veces por año","Alta","Muy Alta")))))</f>
        <v>Media</v>
      </c>
      <c r="P17" s="215">
        <f>IF(O17="","",IF(O17="Muy Baja",0.2,IF(O17="Baja",0.4,IF(O17="Media",0.6,IF(O17="Alta",0.8,IF(O17="Muy Alta",1,))))))</f>
        <v>0.6</v>
      </c>
      <c r="Q17" s="175" t="s">
        <v>109</v>
      </c>
      <c r="R17" s="304" t="str">
        <f>IF(NOT(ISERROR(MATCH(Q17,'Tabla Impacto'!$B$221:$B$223,0))),'Tabla Impacto'!$F$223&amp;"Por favor no seleccionar los criterios de impacto(Afectación Económica o presupuestal y Pérdida Reputacional)",Q17)</f>
        <v xml:space="preserve">     El riesgo afecta la imagen de la entidad con algunos usuarios de relevancia frente al logro de los objetivos</v>
      </c>
      <c r="S17" s="229" t="str">
        <f>IF(OR(R17='Tabla Impacto'!$C$11,R17='Tabla Impacto'!$D$11),"Leve",IF(OR(R17='Tabla Impacto'!$C$12,R17='Tabla Impacto'!$D$12),"Menor",IF(OR(R17='Tabla Impacto'!$C$13,R17='Tabla Impacto'!$D$13),"Moderado",IF(OR(R17='Tabla Impacto'!$C$14,R17='Tabla Impacto'!$D$14),"Mayor",IF(OR(R17='Tabla Impacto'!$C$15,R17='Tabla Impacto'!$D$15),"Catastrófico","")))))</f>
        <v>Moderado</v>
      </c>
      <c r="T17" s="215">
        <f t="shared" si="1"/>
        <v>0.6</v>
      </c>
      <c r="U17" s="253" t="str">
        <f t="shared" si="2"/>
        <v>Moderado</v>
      </c>
      <c r="V17" s="187">
        <v>1</v>
      </c>
      <c r="W17" s="176" t="s">
        <v>198</v>
      </c>
      <c r="X17" s="187" t="s">
        <v>111</v>
      </c>
      <c r="Y17" s="237" t="s">
        <v>164</v>
      </c>
      <c r="Z17" s="203" t="str">
        <f>IF(AND(X17="Preventivo",Y17="Automático"),"50%",IF(AND(X17="Preventivo",Y17="Manual"),"40%",IF(AND(X17="Detectivo",Y17="Automático"),"40%",IF(AND(X17="Detectivo",Y17="Manual"),"30%",IF(AND(X17="Correctivo",Y17="Automático"),"35%",IF(AND(X17="Correctivo",Y17="Manual"),"25%",""))))))</f>
        <v>50%</v>
      </c>
      <c r="AA17" s="209" t="s">
        <v>113</v>
      </c>
      <c r="AB17" s="209" t="s">
        <v>148</v>
      </c>
      <c r="AC17" s="235" t="s">
        <v>115</v>
      </c>
      <c r="AD17" s="199">
        <f>IFERROR(IF(AE17="Probabilidad",(P17-(+P17*Z17)),IF(AE17="Impacto",P17,"")),"")</f>
        <v>0.3</v>
      </c>
      <c r="AE17" s="199" t="str">
        <f t="shared" si="6"/>
        <v>Probabilidad</v>
      </c>
      <c r="AF17" s="200" t="s">
        <v>199</v>
      </c>
      <c r="AG17" s="166" t="s">
        <v>200</v>
      </c>
      <c r="AH17" s="200" t="s">
        <v>167</v>
      </c>
      <c r="AI17" s="264" t="s">
        <v>134</v>
      </c>
      <c r="AJ17" s="220" t="str">
        <f t="shared" si="9"/>
        <v>Baja</v>
      </c>
      <c r="AK17" s="248">
        <f t="shared" si="10"/>
        <v>0.3</v>
      </c>
      <c r="AL17" s="219" t="str">
        <f t="shared" si="7"/>
        <v>Moderado</v>
      </c>
      <c r="AM17" s="247">
        <f>IFERROR(IF(AE17="Impacto",(T17-(+T17*Z17)),IF(AE17="Probabilidad",T17,"")),"")</f>
        <v>0.6</v>
      </c>
      <c r="AN17" s="253" t="str">
        <f t="shared" si="4"/>
        <v>Moderado</v>
      </c>
      <c r="AO17" s="228" t="s">
        <v>120</v>
      </c>
      <c r="AP17" s="213" t="s">
        <v>201</v>
      </c>
      <c r="AQ17" s="213" t="s">
        <v>200</v>
      </c>
      <c r="AR17" s="213" t="s">
        <v>202</v>
      </c>
      <c r="AS17" s="213" t="s">
        <v>203</v>
      </c>
      <c r="AT17" s="213" t="s">
        <v>204</v>
      </c>
      <c r="AU17" s="243">
        <v>44562</v>
      </c>
      <c r="AV17" s="243">
        <v>44896</v>
      </c>
      <c r="AW17" s="213" t="s">
        <v>205</v>
      </c>
      <c r="AX17" s="187" t="s">
        <v>126</v>
      </c>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c r="BZ17" s="130"/>
      <c r="CA17" s="130"/>
      <c r="CB17" s="130"/>
      <c r="CC17" s="130"/>
      <c r="CD17" s="130"/>
    </row>
    <row r="18" spans="3:82" s="131" customFormat="1" ht="105.75" thickBot="1" x14ac:dyDescent="0.3">
      <c r="C18" s="277">
        <v>12</v>
      </c>
      <c r="D18" s="160" t="s">
        <v>194</v>
      </c>
      <c r="E18" s="160" t="s">
        <v>176</v>
      </c>
      <c r="F18" s="211" t="s">
        <v>195</v>
      </c>
      <c r="G18" s="211" t="s">
        <v>540</v>
      </c>
      <c r="H18" s="211" t="s">
        <v>196</v>
      </c>
      <c r="I18" s="284" t="s">
        <v>562</v>
      </c>
      <c r="J18" s="287" t="s">
        <v>585</v>
      </c>
      <c r="K18" s="160" t="s">
        <v>105</v>
      </c>
      <c r="L18" s="160" t="s">
        <v>144</v>
      </c>
      <c r="M18" s="211" t="s">
        <v>197</v>
      </c>
      <c r="N18" s="159" t="s">
        <v>130</v>
      </c>
      <c r="O18" s="220" t="str">
        <f>IF(N18&lt;=0,"",IF(N18&lt;="La actividad que conlleva el riesgo se ejecuta como máximos 2 veces por año","Muy Baja",IF(N18="La actividad que conlleva el riesgo se ejecuta de 3 a 24 veces por año","Baja",IF(N18="La actividad que conlleva el riesgo se ejecuta de 24 a 500 veces por año","Media",IF(N18="La actividad que conlleva el riesgo se ejecuta mínimo 500 veces al año y máximo 5000 veces por año","Alta","Muy Alta")))))</f>
        <v>Media</v>
      </c>
      <c r="P18" s="216">
        <f>IF(O18="","",IF(O18="Muy Baja",0.2,IF(O18="Baja",0.4,IF(O18="Media",0.6,IF(O18="Alta",0.8,IF(O18="Muy Alta",1,))))))</f>
        <v>0.6</v>
      </c>
      <c r="Q18" s="165" t="s">
        <v>109</v>
      </c>
      <c r="R18" s="305" t="str">
        <f ca="1">IF(NOT(ISERROR(MATCH(Q18,_xlfn.ANCHORARRAY(I22),0))),P24&amp;"Por favor no seleccionar los criterios de impacto",Q18)</f>
        <v xml:space="preserve">     El riesgo afecta la imagen de la entidad con algunos usuarios de relevancia frente al logro de los objetivos</v>
      </c>
      <c r="S18" s="220" t="str">
        <f ca="1">IF(OR(R18='Tabla Impacto'!$C$11,R18='Tabla Impacto'!$D$11),"Leve",IF(OR(R18='Tabla Impacto'!$C$12,R18='Tabla Impacto'!$D$12),"Menor",IF(OR(R18='Tabla Impacto'!$C$13,R18='Tabla Impacto'!$D$13),"Moderado",IF(OR(R18='Tabla Impacto'!$C$14,R18='Tabla Impacto'!$D$14),"Mayor",IF(OR(R18='Tabla Impacto'!$C$15,R18='Tabla Impacto'!$D$15),"Catastrófico","")))))</f>
        <v>Moderado</v>
      </c>
      <c r="T18" s="216">
        <f t="shared" ref="T18:T19" ca="1" si="16">IF(S18="","",IF(S18="Leve",0.2,IF(S18="Menor",0.4,IF(S18="Moderado",0.6,IF(S18="Mayor",0.8,IF(S18="Catastrófico",1,))))))</f>
        <v>0.6</v>
      </c>
      <c r="U18" s="252" t="str">
        <f t="shared" ref="U18:U19" ca="1" si="17">IF(OR(AND(O18="Muy Baja",S18="Leve"),AND(O18="Muy Baja",S18="Menor"),AND(O18="Baja",S18="Leve")),"Bajo",IF(OR(AND(O18="Muy baja",S18="Moderado"),AND(O18="Baja",S18="Menor"),AND(O18="Baja",S18="Moderado"),AND(O18="Media",S18="Leve"),AND(O18="Media",S18="Menor"),AND(O18="Media",S18="Moderado"),AND(O18="Alta",S18="Leve"),AND(O18="Alta",S18="Menor")),"Moderado",IF(OR(AND(O18="Muy Baja",S18="Mayor"),AND(O18="Baja",S18="Mayor"),AND(O18="Media",S18="Mayor"),AND(O18="Alta",S18="Moderado"),AND(O18="Alta",S18="Mayor"),AND(O18="Muy Alta",S18="Leve"),AND(O18="Muy Alta",S18="Menor"),AND(O18="Muy Alta",S18="Moderado"),AND(O18="Muy Alta",S18="Mayor")),"Alto",IF(OR(AND(O18="Muy Baja",S18="Catastrófico"),AND(O18="Baja",S18="Catastrófico"),AND(O18="Media",S18="Catastrófico"),AND(O18="Alta",S18="Catastrófico"),AND(O18="Muy Alta",S18="Catastrófico")),"Extremo",""))))</f>
        <v>Moderado</v>
      </c>
      <c r="V18" s="182">
        <v>2</v>
      </c>
      <c r="W18" s="177" t="s">
        <v>206</v>
      </c>
      <c r="X18" s="182" t="s">
        <v>111</v>
      </c>
      <c r="Y18" s="235" t="s">
        <v>164</v>
      </c>
      <c r="Z18" s="198" t="str">
        <f t="shared" ref="Z18:Z19" si="18">IF(AND(X18="Preventivo",Y18="Automático"),"50%",IF(AND(X18="Preventivo",Y18="Manual"),"40%",IF(AND(X18="Detectivo",Y18="Automático"),"40%",IF(AND(X18="Detectivo",Y18="Manual"),"30%",IF(AND(X18="Correctivo",Y18="Automático"),"35%",IF(AND(X18="Correctivo",Y18="Manual"),"25%",""))))))</f>
        <v>50%</v>
      </c>
      <c r="AA18" s="209" t="s">
        <v>113</v>
      </c>
      <c r="AB18" s="209" t="s">
        <v>148</v>
      </c>
      <c r="AC18" s="235" t="s">
        <v>115</v>
      </c>
      <c r="AD18" s="199">
        <f>IFERROR(IF(AND(AE17="Probabilidad",AE18="Probabilidad"),(AK17-(+AK17*Z18)),IF(AE18="Probabilidad",(P17-(+P17*Z18)),IF(AE18="Impacto",AK17,""))),"")</f>
        <v>0.15</v>
      </c>
      <c r="AE18" s="199" t="str">
        <f t="shared" si="6"/>
        <v>Probabilidad</v>
      </c>
      <c r="AF18" s="200" t="s">
        <v>199</v>
      </c>
      <c r="AG18" s="166" t="s">
        <v>200</v>
      </c>
      <c r="AH18" s="200" t="s">
        <v>167</v>
      </c>
      <c r="AI18" s="263" t="s">
        <v>134</v>
      </c>
      <c r="AJ18" s="220" t="str">
        <f t="shared" si="9"/>
        <v>Muy Baja</v>
      </c>
      <c r="AK18" s="247">
        <f t="shared" si="10"/>
        <v>0.15</v>
      </c>
      <c r="AL18" s="220" t="str">
        <f t="shared" si="7"/>
        <v>Moderado</v>
      </c>
      <c r="AM18" s="247">
        <f>IFERROR(IF(AND(AE17="Impacto",AE18="Impacto"),(AM17-(+AM17*Z18)),IF(AE18="Impacto",($T$8-(+$T$8*AE18)),IF(AE18="Probabilidad",AM17,""))),"")</f>
        <v>0.6</v>
      </c>
      <c r="AN18" s="252" t="str">
        <f t="shared" si="4"/>
        <v>Moderado</v>
      </c>
      <c r="AO18" s="228" t="s">
        <v>527</v>
      </c>
      <c r="AP18" s="211" t="s">
        <v>201</v>
      </c>
      <c r="AQ18" s="211" t="s">
        <v>200</v>
      </c>
      <c r="AR18" s="211" t="s">
        <v>202</v>
      </c>
      <c r="AS18" s="211" t="s">
        <v>203</v>
      </c>
      <c r="AT18" s="211" t="s">
        <v>204</v>
      </c>
      <c r="AU18" s="242">
        <v>44562</v>
      </c>
      <c r="AV18" s="242">
        <v>44896</v>
      </c>
      <c r="AW18" s="211" t="s">
        <v>205</v>
      </c>
      <c r="AX18" s="182" t="s">
        <v>126</v>
      </c>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row>
    <row r="19" spans="3:82" s="131" customFormat="1" ht="105.75" thickBot="1" x14ac:dyDescent="0.3">
      <c r="C19" s="278">
        <v>13</v>
      </c>
      <c r="D19" s="160" t="s">
        <v>194</v>
      </c>
      <c r="E19" s="160" t="s">
        <v>176</v>
      </c>
      <c r="F19" s="211" t="s">
        <v>195</v>
      </c>
      <c r="G19" s="211" t="s">
        <v>540</v>
      </c>
      <c r="H19" s="211" t="s">
        <v>196</v>
      </c>
      <c r="I19" s="284" t="s">
        <v>562</v>
      </c>
      <c r="J19" s="287" t="s">
        <v>585</v>
      </c>
      <c r="K19" s="160" t="s">
        <v>105</v>
      </c>
      <c r="L19" s="160" t="s">
        <v>144</v>
      </c>
      <c r="M19" s="211" t="s">
        <v>197</v>
      </c>
      <c r="N19" s="153" t="s">
        <v>130</v>
      </c>
      <c r="O19" s="222" t="str">
        <f t="shared" ref="O19" si="19">IF(N19&lt;=0,"",IF(N19&lt;="La actividad que conlleva el riesgo se ejecuta como máximos 2 veces por año","Muy Baja",IF(N19="La actividad que conlleva el riesgo se ejecuta de 3 a 24 veces por año","Baja",IF(N19="La actividad que conlleva el riesgo se ejecuta de 24 a 500 veces por año","Media",IF(N19="La actividad que conlleva el riesgo se ejecuta mínimo 500 veces al año y máximo 5000 veces por año","Alta","Muy Alta")))))</f>
        <v>Media</v>
      </c>
      <c r="P19" s="215">
        <f t="shared" ref="P19" si="20">IF(O19="","",IF(O19="Muy Baja",0.2,IF(O19="Baja",0.4,IF(O19="Media",0.6,IF(O19="Alta",0.8,IF(O19="Muy Alta",1,))))))</f>
        <v>0.6</v>
      </c>
      <c r="Q19" s="163" t="s">
        <v>109</v>
      </c>
      <c r="R19" s="305" t="str">
        <f ca="1">IF(NOT(ISERROR(MATCH(Q19,_xlfn.ANCHORARRAY(I24),0))),#REF!&amp;"Por favor no seleccionar los criterios de impacto",Q19)</f>
        <v xml:space="preserve">     El riesgo afecta la imagen de la entidad con algunos usuarios de relevancia frente al logro de los objetivos</v>
      </c>
      <c r="S19" s="222" t="str">
        <f ca="1">IF(OR(R19='Tabla Impacto'!$C$11,R19='Tabla Impacto'!$D$11),"Leve",IF(OR(R19='Tabla Impacto'!$C$12,R19='Tabla Impacto'!$D$12),"Menor",IF(OR(R19='Tabla Impacto'!$C$13,R19='Tabla Impacto'!$D$13),"Moderado",IF(OR(R19='Tabla Impacto'!$C$14,R19='Tabla Impacto'!$D$14),"Mayor",IF(OR(R19='Tabla Impacto'!$C$15,R19='Tabla Impacto'!$D$15),"Catastrófico","")))))</f>
        <v>Moderado</v>
      </c>
      <c r="T19" s="217">
        <f t="shared" ca="1" si="16"/>
        <v>0.6</v>
      </c>
      <c r="U19" s="270" t="str">
        <f t="shared" ca="1" si="17"/>
        <v>Moderado</v>
      </c>
      <c r="V19" s="187">
        <v>4</v>
      </c>
      <c r="W19" s="176" t="s">
        <v>210</v>
      </c>
      <c r="X19" s="187" t="s">
        <v>111</v>
      </c>
      <c r="Y19" s="237" t="s">
        <v>112</v>
      </c>
      <c r="Z19" s="203" t="str">
        <f t="shared" si="18"/>
        <v>40%</v>
      </c>
      <c r="AA19" s="209" t="s">
        <v>113</v>
      </c>
      <c r="AB19" s="209" t="s">
        <v>148</v>
      </c>
      <c r="AC19" s="235" t="s">
        <v>115</v>
      </c>
      <c r="AD19" s="199" t="str">
        <f>IFERROR(IF(AND(#REF!="Probabilidad",AE19="Probabilidad"),(#REF!-(+#REF!*Z19)),IF(AND(#REF!="Impacto",AE19="Probabilidad"),(#REF!-(+#REF!*Z19)),IF(AE19="Impacto",#REF!,""))),"")</f>
        <v/>
      </c>
      <c r="AE19" s="199" t="str">
        <f t="shared" si="6"/>
        <v>Probabilidad</v>
      </c>
      <c r="AF19" s="200" t="s">
        <v>211</v>
      </c>
      <c r="AG19" s="166" t="s">
        <v>209</v>
      </c>
      <c r="AH19" s="200" t="s">
        <v>167</v>
      </c>
      <c r="AI19" s="263" t="s">
        <v>134</v>
      </c>
      <c r="AJ19" s="220" t="str">
        <f t="shared" si="9"/>
        <v/>
      </c>
      <c r="AK19" s="247" t="str">
        <f t="shared" ref="AK19:AK29" si="21">+AD19</f>
        <v/>
      </c>
      <c r="AL19" s="220" t="str">
        <f t="shared" si="7"/>
        <v/>
      </c>
      <c r="AM19" s="247" t="str">
        <f>IFERROR(IF(AND(#REF!="Impacto",AE19="Impacto"),(#REF!-(+#REF!*Z19)),IF(AND(#REF!="Probabilidad",AE19="Impacto"),(AM18-(+AM18*Z19)),IF(AE19="Probabilidad",#REF!,""))),"")</f>
        <v/>
      </c>
      <c r="AN19" s="252" t="str">
        <f t="shared" ref="AN19" si="22">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228" t="s">
        <v>190</v>
      </c>
      <c r="AP19" s="242" t="s">
        <v>191</v>
      </c>
      <c r="AQ19" s="243" t="s">
        <v>191</v>
      </c>
      <c r="AR19" s="213" t="s">
        <v>192</v>
      </c>
      <c r="AS19" s="213" t="s">
        <v>193</v>
      </c>
      <c r="AT19" s="213" t="s">
        <v>193</v>
      </c>
      <c r="AU19" s="243" t="s">
        <v>134</v>
      </c>
      <c r="AV19" s="243" t="s">
        <v>134</v>
      </c>
      <c r="AW19" s="243" t="s">
        <v>134</v>
      </c>
      <c r="AX19" s="243" t="s">
        <v>134</v>
      </c>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row>
    <row r="20" spans="3:82" s="131" customFormat="1" ht="133.5" customHeight="1" thickBot="1" x14ac:dyDescent="0.3">
      <c r="C20" s="277">
        <v>14</v>
      </c>
      <c r="D20" s="172" t="s">
        <v>541</v>
      </c>
      <c r="E20" s="174" t="s">
        <v>176</v>
      </c>
      <c r="F20" s="213" t="s">
        <v>102</v>
      </c>
      <c r="G20" s="275" t="s">
        <v>212</v>
      </c>
      <c r="H20" s="213" t="s">
        <v>213</v>
      </c>
      <c r="I20" s="282" t="s">
        <v>563</v>
      </c>
      <c r="J20" s="287" t="s">
        <v>584</v>
      </c>
      <c r="K20" s="172" t="s">
        <v>179</v>
      </c>
      <c r="L20" s="174" t="s">
        <v>214</v>
      </c>
      <c r="M20" s="213" t="s">
        <v>215</v>
      </c>
      <c r="N20" s="159" t="s">
        <v>130</v>
      </c>
      <c r="O20" s="221" t="str">
        <f>IF(N20&lt;=0,"",IF(N20&lt;="La actividad que conlleva el riesgo se ejecuta como máximos 2 veces por año","Muy Baja",IF(N20="La actividad que conlleva el riesgo se ejecuta de 3 a 24 veces por año","Baja",IF(N20="La actividad que conlleva el riesgo se ejecuta de 24 a 500 veces por año","Media",IF(N20="La actividad que conlleva el riesgo se ejecuta mínimo 500 veces al año y máximo 5000 veces por año","Alta","Muy Alta")))))</f>
        <v>Media</v>
      </c>
      <c r="P20" s="216">
        <f>IF(O20="","",IF(O20="Muy Baja",0.2,IF(O20="Baja",0.4,IF(O20="Media",0.6,IF(O20="Alta",0.8,IF(O20="Muy Alta",1,))))))</f>
        <v>0.6</v>
      </c>
      <c r="Q20" s="165" t="s">
        <v>109</v>
      </c>
      <c r="R20" s="293" t="str">
        <f>IF(NOT(ISERROR(MATCH(Q20,'Tabla Impacto'!$B$221:$B$223,0))),'Tabla Impacto'!$F$223&amp;"Por favor no seleccionar los criterios de impacto(Afectación Económica o presupuestal y Pérdida Reputacional)",Q20)</f>
        <v xml:space="preserve">     El riesgo afecta la imagen de la entidad con algunos usuarios de relevancia frente al logro de los objetivos</v>
      </c>
      <c r="S20" s="224" t="str">
        <f>IF(OR(R20='Tabla Impacto'!$C$11,R20='Tabla Impacto'!$D$11),"Leve",IF(OR(R20='Tabla Impacto'!$C$12,R20='Tabla Impacto'!$D$12),"Menor",IF(OR(R20='Tabla Impacto'!$C$13,R20='Tabla Impacto'!$D$13),"Moderado",IF(OR(R20='Tabla Impacto'!$C$14,R20='Tabla Impacto'!$D$14),"Mayor",IF(OR(R20='Tabla Impacto'!$C$15,R20='Tabla Impacto'!$D$15),"Catastrófico","")))))</f>
        <v>Moderado</v>
      </c>
      <c r="T20" s="216">
        <f t="shared" ref="T20:T30" si="23">IF(S20="","",IF(S20="Leve",0.2,IF(S20="Menor",0.4,IF(S20="Moderado",0.6,IF(S20="Mayor",0.8,IF(S20="Catastrófico",1,))))))</f>
        <v>0.6</v>
      </c>
      <c r="U20" s="254" t="str">
        <f>IF(OR(AND(O20="Muy Baja",S20="Leve"),AND(O20="Muy Baja",S20="Menor"),AND(O20="Baja",S20="Leve")),"Bajo",IF(OR(AND(O20="Muy baja",S20="Moderado"),AND(O20="Baja",S20="Menor"),AND(O20="Baja",S20="Moderado"),AND(O20="Media",S20="Leve"),AND(O20="Media",S20="Menor"),AND(O20="Media",S20="Moderado"),AND(O20="Alta",S20="Leve"),AND(O20="Alta",S20="Menor")),"Moderado",IF(OR(AND(O20="Muy Baja",S20="Mayor"),AND(O20="Baja",S20="Mayor"),AND(O20="Media",S20="Mayor"),AND(O20="Alta",S20="Moderado"),AND(O20="Alta",S20="Mayor"),AND(O20="Muy Alta",S20="Leve"),AND(O20="Muy Alta",S20="Menor"),AND(O20="Muy Alta",S20="Moderado"),AND(O20="Muy Alta",S20="Mayor")),"Alto",IF(OR(AND(O20="Muy Baja",S20="Catastrófico"),AND(O20="Baja",S20="Catastrófico"),AND(O20="Media",S20="Catastrófico"),AND(O20="Alta",S20="Catastrófico"),AND(O20="Muy Alta",S20="Catastrófico")),"Extremo",""))))</f>
        <v>Moderado</v>
      </c>
      <c r="V20" s="182">
        <v>1</v>
      </c>
      <c r="W20" s="161" t="s">
        <v>218</v>
      </c>
      <c r="X20" s="182" t="s">
        <v>111</v>
      </c>
      <c r="Y20" s="238" t="s">
        <v>112</v>
      </c>
      <c r="Z20" s="198" t="str">
        <f>IF(AND(X20="Preventivo",Y20="Automático"),"50%",IF(AND(X20="Preventivo",Y20="Manual"),"40%",IF(AND(X20="Detectivo",Y20="Automático"),"40%",IF(AND(X20="Detectivo",Y20="Manual"),"30%",IF(AND(X20="Correctivo",Y20="Automático"),"35%",IF(AND(X20="Correctivo",Y20="Manual"),"25%",""))))))</f>
        <v>40%</v>
      </c>
      <c r="AA20" s="209" t="s">
        <v>113</v>
      </c>
      <c r="AB20" s="209" t="s">
        <v>114</v>
      </c>
      <c r="AC20" s="235" t="s">
        <v>115</v>
      </c>
      <c r="AD20" s="199">
        <f>IFERROR(IF(AE20="Probabilidad",(P20-(+P20*Z20)),IF(AE20="Impacto",P20,"")),"")</f>
        <v>0.36</v>
      </c>
      <c r="AE20" s="199" t="str">
        <f t="shared" si="6"/>
        <v>Probabilidad</v>
      </c>
      <c r="AF20" s="200" t="s">
        <v>219</v>
      </c>
      <c r="AG20" s="166" t="s">
        <v>209</v>
      </c>
      <c r="AH20" s="200" t="s">
        <v>167</v>
      </c>
      <c r="AI20" s="263" t="s">
        <v>134</v>
      </c>
      <c r="AJ20" s="220" t="str">
        <f t="shared" ref="AJ20:AJ29" si="24">IFERROR(IF(AD20="","",IF(AD20&lt;=0.2,"Muy Baja",IF(AD20&lt;=0.4,"Baja",IF(AD20&lt;=0.6,"Media",IF(AD20&lt;=0.8,"Alta","Muy Alta"))))),"")</f>
        <v>Baja</v>
      </c>
      <c r="AK20" s="247">
        <f t="shared" si="21"/>
        <v>0.36</v>
      </c>
      <c r="AL20" s="220" t="str">
        <f t="shared" si="7"/>
        <v>Moderado</v>
      </c>
      <c r="AM20" s="247">
        <f>IFERROR(IF(AE20="Impacto",(T20-(+T20*Z20)),IF(AE20="Probabilidad",T20,"")),"")</f>
        <v>0.6</v>
      </c>
      <c r="AN20" s="252" t="str">
        <f>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Moderado</v>
      </c>
      <c r="AO20" s="228" t="s">
        <v>190</v>
      </c>
      <c r="AP20" s="242" t="s">
        <v>191</v>
      </c>
      <c r="AQ20" s="242" t="s">
        <v>191</v>
      </c>
      <c r="AR20" s="211" t="s">
        <v>192</v>
      </c>
      <c r="AS20" s="211" t="s">
        <v>193</v>
      </c>
      <c r="AT20" s="211" t="s">
        <v>193</v>
      </c>
      <c r="AU20" s="242" t="s">
        <v>134</v>
      </c>
      <c r="AV20" s="242" t="s">
        <v>134</v>
      </c>
      <c r="AW20" s="242" t="s">
        <v>134</v>
      </c>
      <c r="AX20" s="242" t="s">
        <v>134</v>
      </c>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row>
    <row r="21" spans="3:82" s="131" customFormat="1" ht="132.75" customHeight="1" thickBot="1" x14ac:dyDescent="0.3">
      <c r="C21" s="278">
        <v>15</v>
      </c>
      <c r="D21" s="160" t="s">
        <v>541</v>
      </c>
      <c r="E21" s="161" t="s">
        <v>176</v>
      </c>
      <c r="F21" s="211" t="s">
        <v>102</v>
      </c>
      <c r="G21" s="273" t="s">
        <v>212</v>
      </c>
      <c r="H21" s="211" t="s">
        <v>213</v>
      </c>
      <c r="I21" s="280" t="s">
        <v>563</v>
      </c>
      <c r="J21" s="287" t="s">
        <v>584</v>
      </c>
      <c r="K21" s="160" t="s">
        <v>179</v>
      </c>
      <c r="L21" s="161" t="s">
        <v>214</v>
      </c>
      <c r="M21" s="211" t="s">
        <v>215</v>
      </c>
      <c r="N21" s="153" t="s">
        <v>130</v>
      </c>
      <c r="O21" s="223" t="str">
        <f>IF(N21&lt;=0,"",IF(N21&lt;="La actividad que conlleva el riesgo se ejecuta como máximos 2 veces por año","Muy Baja",IF(N21="La actividad que conlleva el riesgo se ejecuta de 3 a 24 veces por año","Baja",IF(N21="La actividad que conlleva el riesgo se ejecuta de 24 a 500 veces por año","Media",IF(N21="La actividad que conlleva el riesgo se ejecuta mínimo 500 veces al año y máximo 5000 veces por año","Alta","Muy Alta")))))</f>
        <v>Media</v>
      </c>
      <c r="P21" s="217">
        <f>IF(O21="","",IF(O21="Muy Baja",0.2,IF(O21="Baja",0.4,IF(O21="Media",0.6,IF(O21="Alta",0.8,IF(O21="Muy Alta",1,))))))</f>
        <v>0.6</v>
      </c>
      <c r="Q21" s="163" t="s">
        <v>109</v>
      </c>
      <c r="R21" s="307" t="str">
        <f ca="1">IF(NOT(ISERROR(MATCH(Q21,_xlfn.ANCHORARRAY(I26),0))),P28&amp;"Por favor no seleccionar los criterios de impacto",Q21)</f>
        <v xml:space="preserve">     El riesgo afecta la imagen de la entidad con algunos usuarios de relevancia frente al logro de los objetivos</v>
      </c>
      <c r="S21" s="222" t="str">
        <f ca="1">IF(OR(R21='Tabla Impacto'!$C$11,R21='Tabla Impacto'!$D$11),"Leve",IF(OR(R21='Tabla Impacto'!$C$12,R21='Tabla Impacto'!$D$12),"Menor",IF(OR(R21='Tabla Impacto'!$C$13,R21='Tabla Impacto'!$D$13),"Moderado",IF(OR(R21='Tabla Impacto'!$C$14,R21='Tabla Impacto'!$D$14),"Mayor",IF(OR(R21='Tabla Impacto'!$C$15,R21='Tabla Impacto'!$D$15),"Catastrófico","")))))</f>
        <v>Moderado</v>
      </c>
      <c r="T21" s="215">
        <f t="shared" ca="1" si="23"/>
        <v>0.6</v>
      </c>
      <c r="U21" s="253" t="str">
        <f ca="1">IF(OR(AND(O21="Muy Baja",S21="Leve"),AND(O21="Muy Baja",S21="Menor"),AND(O21="Baja",S21="Leve")),"Bajo",IF(OR(AND(O21="Muy baja",S21="Moderado"),AND(O21="Baja",S21="Menor"),AND(O21="Baja",S21="Moderado"),AND(O21="Media",S21="Leve"),AND(O21="Media",S21="Menor"),AND(O21="Media",S21="Moderado"),AND(O21="Alta",S21="Leve"),AND(O21="Alta",S21="Menor")),"Moderado",IF(OR(AND(O21="Muy Baja",S21="Mayor"),AND(O21="Baja",S21="Mayor"),AND(O21="Media",S21="Mayor"),AND(O21="Alta",S21="Moderado"),AND(O21="Alta",S21="Mayor"),AND(O21="Muy Alta",S21="Leve"),AND(O21="Muy Alta",S21="Menor"),AND(O21="Muy Alta",S21="Moderado"),AND(O21="Muy Alta",S21="Mayor")),"Alto",IF(OR(AND(O21="Muy Baja",S21="Catastrófico"),AND(O21="Baja",S21="Catastrófico"),AND(O21="Media",S21="Catastrófico"),AND(O21="Alta",S21="Catastrófico"),AND(O21="Muy Alta",S21="Catastrófico")),"Extremo",""))))</f>
        <v>Moderado</v>
      </c>
      <c r="V21" s="187">
        <v>2</v>
      </c>
      <c r="W21" s="174" t="s">
        <v>220</v>
      </c>
      <c r="X21" s="187" t="s">
        <v>111</v>
      </c>
      <c r="Y21" s="237" t="s">
        <v>112</v>
      </c>
      <c r="Z21" s="203" t="str">
        <f t="shared" ref="Z21" si="25">IF(AND(X21="Preventivo",Y21="Automático"),"50%",IF(AND(X21="Preventivo",Y21="Manual"),"40%",IF(AND(X21="Detectivo",Y21="Automático"),"40%",IF(AND(X21="Detectivo",Y21="Manual"),"30%",IF(AND(X21="Correctivo",Y21="Automático"),"35%",IF(AND(X21="Correctivo",Y21="Manual"),"25%",""))))))</f>
        <v>40%</v>
      </c>
      <c r="AA21" s="209" t="s">
        <v>113</v>
      </c>
      <c r="AB21" s="209" t="s">
        <v>114</v>
      </c>
      <c r="AC21" s="237" t="s">
        <v>115</v>
      </c>
      <c r="AD21" s="199">
        <f>IFERROR(IF(AND(AE20="Probabilidad",AE21="Probabilidad"),(AK20-(+AK20*Z21)),IF(AE21="Probabilidad",(P20-(+P20*Z21)),IF(AE21="Impacto",AK20,""))),"")</f>
        <v>0.216</v>
      </c>
      <c r="AE21" s="199" t="str">
        <f t="shared" si="6"/>
        <v>Probabilidad</v>
      </c>
      <c r="AF21" s="200" t="s">
        <v>221</v>
      </c>
      <c r="AG21" s="166" t="s">
        <v>209</v>
      </c>
      <c r="AH21" s="200" t="s">
        <v>167</v>
      </c>
      <c r="AI21" s="264" t="s">
        <v>134</v>
      </c>
      <c r="AJ21" s="220" t="str">
        <f t="shared" si="24"/>
        <v>Baja</v>
      </c>
      <c r="AK21" s="247">
        <f t="shared" si="21"/>
        <v>0.216</v>
      </c>
      <c r="AL21" s="220" t="str">
        <f t="shared" si="7"/>
        <v>Moderado</v>
      </c>
      <c r="AM21" s="260">
        <f>IFERROR(IF(AND(AE20="Impacto",AE21="Impacto"),(AM20-(+AM20*Z21)),IF(AE21="Impacto",($T$8-(+$T$8*AE21)),IF(AE21="Probabilidad",AM20,""))),"")</f>
        <v>0.6</v>
      </c>
      <c r="AN21" s="252" t="str">
        <f>IFERROR(IF(OR(AND(AJ21="Muy Baja",AL21="Leve"),AND(AJ21="Muy Baja",AL21="Menor"),AND(AJ21="Baja",AL21="Leve")),"Bajo",IF(OR(AND(AJ21="Muy baja",AL21="Moderado"),AND(AJ21="Baja",AL21="Menor"),AND(AJ21="Baja",AL21="Moderado"),AND(AJ21="Media",AL21="Leve"),AND(AJ21="Media",AL21="Menor"),AND(AJ21="Media",AL21="Moderado"),AND(AJ21="Alta",AL21="Leve"),AND(AJ21="Alta",AL21="Menor")),"Moderado",IF(OR(AND(AJ21="Muy Baja",AL21="Mayor"),AND(AJ21="Baja",AL21="Mayor"),AND(AJ21="Media",AL21="Mayor"),AND(AJ21="Alta",AL21="Moderado"),AND(AJ21="Alta",AL21="Mayor"),AND(AJ21="Muy Alta",AL21="Leve"),AND(AJ21="Muy Alta",AL21="Menor"),AND(AJ21="Muy Alta",AL21="Moderado"),AND(AJ21="Muy Alta",AL21="Mayor")),"Alto",IF(OR(AND(AJ21="Muy Baja",AL21="Catastrófico"),AND(AJ21="Baja",AL21="Catastrófico"),AND(AJ21="Media",AL21="Catastrófico"),AND(AJ21="Alta",AL21="Catastrófico"),AND(AJ21="Muy Alta",AL21="Catastrófico")),"Extremo","")))),"")</f>
        <v>Moderado</v>
      </c>
      <c r="AO21" s="228" t="s">
        <v>190</v>
      </c>
      <c r="AP21" s="242" t="s">
        <v>191</v>
      </c>
      <c r="AQ21" s="242" t="s">
        <v>191</v>
      </c>
      <c r="AR21" s="211" t="s">
        <v>192</v>
      </c>
      <c r="AS21" s="211" t="s">
        <v>193</v>
      </c>
      <c r="AT21" s="211" t="s">
        <v>193</v>
      </c>
      <c r="AU21" s="242" t="s">
        <v>134</v>
      </c>
      <c r="AV21" s="242" t="s">
        <v>134</v>
      </c>
      <c r="AW21" s="242" t="s">
        <v>134</v>
      </c>
      <c r="AX21" s="242" t="s">
        <v>134</v>
      </c>
      <c r="AY21" s="178"/>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130"/>
      <c r="CC21" s="130"/>
      <c r="CD21" s="130"/>
    </row>
    <row r="22" spans="3:82" s="131" customFormat="1" ht="169.5" customHeight="1" thickBot="1" x14ac:dyDescent="0.3">
      <c r="C22" s="277">
        <v>16</v>
      </c>
      <c r="D22" s="172" t="s">
        <v>222</v>
      </c>
      <c r="E22" s="174" t="s">
        <v>176</v>
      </c>
      <c r="F22" s="213" t="s">
        <v>195</v>
      </c>
      <c r="G22" s="275" t="s">
        <v>223</v>
      </c>
      <c r="H22" s="213" t="s">
        <v>196</v>
      </c>
      <c r="I22" s="284" t="s">
        <v>564</v>
      </c>
      <c r="J22" s="287" t="s">
        <v>586</v>
      </c>
      <c r="K22" s="160" t="s">
        <v>105</v>
      </c>
      <c r="L22" s="161" t="s">
        <v>224</v>
      </c>
      <c r="M22" s="211" t="s">
        <v>225</v>
      </c>
      <c r="N22" s="159" t="s">
        <v>130</v>
      </c>
      <c r="O22" s="224" t="str">
        <f>IF(N22&lt;=0,"",IF(N22&lt;="La actividad que conlleva el riesgo se ejecuta como máximos 2 veces por año","Muy Baja",IF(N22="La actividad que conlleva el riesgo se ejecuta de 3 a 24 veces por año","Baja",IF(N22="La actividad que conlleva el riesgo se ejecuta de 24 a 500 veces por año","Media",IF(N22="La actividad que conlleva el riesgo se ejecuta mínimo 500 veces al año y máximo 5000 veces por año","Alta","Muy Alta")))))</f>
        <v>Media</v>
      </c>
      <c r="P22" s="216">
        <f>IF(O22="","",IF(O22="Muy Baja",0.2,IF(O22="Baja",0.4,IF(O22="Media",0.6,IF(O22="Alta",0.8,IF(O22="Muy Alta",1,))))))</f>
        <v>0.6</v>
      </c>
      <c r="Q22" s="165" t="s">
        <v>217</v>
      </c>
      <c r="R22" s="296" t="str">
        <f>IF(NOT(ISERROR(MATCH(Q22,'Tabla Impacto'!$B$221:$B$223,0))),'Tabla Impacto'!$F$223&amp;"Por favor no seleccionar los criterios de impacto(Afectación Económica o presupuestal y Pérdida Reputacional)",Q22)</f>
        <v xml:space="preserve">     El riesgo afecta la imagen de la entidad internamente, de conocimiento general, nivel interno, de junta dircetiva y accionistas y/o de provedores</v>
      </c>
      <c r="S22" s="220" t="str">
        <f>IF(OR(R22='Tabla Impacto'!$C$11,R22='Tabla Impacto'!$D$11),"Leve",IF(OR(R22='Tabla Impacto'!$C$12,R22='Tabla Impacto'!$D$12),"Menor",IF(OR(R22='Tabla Impacto'!$C$13,R22='Tabla Impacto'!$D$13),"Moderado",IF(OR(R22='Tabla Impacto'!$C$14,R22='Tabla Impacto'!$D$14),"Mayor",IF(OR(R22='Tabla Impacto'!$C$15,R22='Tabla Impacto'!$D$15),"Catastrófico","")))))</f>
        <v>Menor</v>
      </c>
      <c r="T22" s="216">
        <f t="shared" si="23"/>
        <v>0.4</v>
      </c>
      <c r="U22" s="252" t="str">
        <f>IF(OR(AND(O22="Muy Baja",S22="Leve"),AND(O22="Muy Baja",S22="Menor"),AND(O22="Baja",S22="Leve")),"Bajo",IF(OR(AND(O22="Muy baja",S22="Moderado"),AND(O22="Baja",S22="Menor"),AND(O22="Baja",S22="Moderado"),AND(O22="Media",S22="Leve"),AND(O22="Media",S22="Menor"),AND(O22="Media",S22="Moderado"),AND(O22="Alta",S22="Leve"),AND(O22="Alta",S22="Menor")),"Moderado",IF(OR(AND(O22="Muy Baja",S22="Mayor"),AND(O22="Baja",S22="Mayor"),AND(O22="Media",S22="Mayor"),AND(O22="Alta",S22="Moderado"),AND(O22="Alta",S22="Mayor"),AND(O22="Muy Alta",S22="Leve"),AND(O22="Muy Alta",S22="Menor"),AND(O22="Muy Alta",S22="Moderado"),AND(O22="Muy Alta",S22="Mayor")),"Alto",IF(OR(AND(O22="Muy Baja",S22="Catastrófico"),AND(O22="Baja",S22="Catastrófico"),AND(O22="Media",S22="Catastrófico"),AND(O22="Alta",S22="Catastrófico"),AND(O22="Muy Alta",S22="Catastrófico")),"Extremo",""))))</f>
        <v>Moderado</v>
      </c>
      <c r="V22" s="182">
        <v>1</v>
      </c>
      <c r="W22" s="177" t="s">
        <v>226</v>
      </c>
      <c r="X22" s="182" t="s">
        <v>111</v>
      </c>
      <c r="Y22" s="235" t="s">
        <v>112</v>
      </c>
      <c r="Z22" s="198" t="str">
        <f>IF(AND(X22="Preventivo",Y22="Automático"),"50%",IF(AND(X22="Preventivo",Y22="Manual"),"40%",IF(AND(X22="Detectivo",Y22="Automático"),"40%",IF(AND(X22="Detectivo",Y22="Manual"),"30%",IF(AND(X22="Correctivo",Y22="Automático"),"35%",IF(AND(X22="Correctivo",Y22="Manual"),"25%",""))))))</f>
        <v>40%</v>
      </c>
      <c r="AA22" s="209" t="s">
        <v>113</v>
      </c>
      <c r="AB22" s="209" t="s">
        <v>148</v>
      </c>
      <c r="AC22" s="235" t="s">
        <v>115</v>
      </c>
      <c r="AD22" s="199">
        <f>IFERROR(IF(AE22="Probabilidad",(P22-(+P22*Z22)),IF(AE22="Impacto",P22,"")),"")</f>
        <v>0.36</v>
      </c>
      <c r="AE22" s="199" t="str">
        <f t="shared" si="6"/>
        <v>Probabilidad</v>
      </c>
      <c r="AF22" s="200" t="s">
        <v>227</v>
      </c>
      <c r="AG22" s="166" t="s">
        <v>209</v>
      </c>
      <c r="AH22" s="200" t="s">
        <v>167</v>
      </c>
      <c r="AI22" s="263" t="s">
        <v>134</v>
      </c>
      <c r="AJ22" s="220" t="str">
        <f t="shared" si="24"/>
        <v>Baja</v>
      </c>
      <c r="AK22" s="247">
        <f t="shared" si="21"/>
        <v>0.36</v>
      </c>
      <c r="AL22" s="219" t="str">
        <f t="shared" si="7"/>
        <v>Menor</v>
      </c>
      <c r="AM22" s="247">
        <f>IFERROR(IF(AE22="Impacto",(T22-(+T22*Z22)),IF(AE22="Probabilidad",T22,"")),"")</f>
        <v>0.4</v>
      </c>
      <c r="AN22" s="252"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Moderado</v>
      </c>
      <c r="AO22" s="228" t="s">
        <v>190</v>
      </c>
      <c r="AP22" s="243" t="s">
        <v>191</v>
      </c>
      <c r="AQ22" s="243" t="s">
        <v>191</v>
      </c>
      <c r="AR22" s="213" t="s">
        <v>192</v>
      </c>
      <c r="AS22" s="213" t="s">
        <v>193</v>
      </c>
      <c r="AT22" s="213" t="s">
        <v>193</v>
      </c>
      <c r="AU22" s="243" t="s">
        <v>134</v>
      </c>
      <c r="AV22" s="243" t="s">
        <v>134</v>
      </c>
      <c r="AW22" s="243" t="s">
        <v>134</v>
      </c>
      <c r="AX22" s="243" t="s">
        <v>134</v>
      </c>
      <c r="AY22" s="130"/>
      <c r="AZ22" s="130"/>
      <c r="BA22" s="130"/>
      <c r="BB22" s="130"/>
      <c r="BC22" s="130"/>
      <c r="BD22" s="130"/>
      <c r="BE22" s="130"/>
      <c r="BF22" s="130"/>
      <c r="BG22" s="130"/>
      <c r="BH22" s="130"/>
      <c r="BI22" s="130"/>
      <c r="BJ22" s="130"/>
      <c r="BK22" s="130"/>
      <c r="BL22" s="130"/>
      <c r="BM22" s="130"/>
      <c r="BN22" s="130"/>
      <c r="BO22" s="130"/>
      <c r="BP22" s="130"/>
      <c r="BQ22" s="130"/>
      <c r="BR22" s="130"/>
      <c r="BS22" s="130"/>
      <c r="BT22" s="130"/>
      <c r="BU22" s="130"/>
      <c r="BV22" s="130"/>
      <c r="BW22" s="130"/>
      <c r="BX22" s="130"/>
      <c r="BY22" s="130"/>
      <c r="BZ22" s="130"/>
      <c r="CA22" s="130"/>
      <c r="CB22" s="130"/>
      <c r="CC22" s="130"/>
      <c r="CD22" s="130"/>
    </row>
    <row r="23" spans="3:82" s="131" customFormat="1" ht="174.75" customHeight="1" thickBot="1" x14ac:dyDescent="0.3">
      <c r="C23" s="278">
        <v>17</v>
      </c>
      <c r="D23" s="160" t="s">
        <v>222</v>
      </c>
      <c r="E23" s="160" t="s">
        <v>176</v>
      </c>
      <c r="F23" s="211" t="s">
        <v>195</v>
      </c>
      <c r="G23" s="211" t="s">
        <v>223</v>
      </c>
      <c r="H23" s="211" t="s">
        <v>196</v>
      </c>
      <c r="I23" s="284" t="s">
        <v>564</v>
      </c>
      <c r="J23" s="287"/>
      <c r="K23" s="160" t="s">
        <v>105</v>
      </c>
      <c r="L23" s="160" t="s">
        <v>224</v>
      </c>
      <c r="M23" s="211" t="s">
        <v>225</v>
      </c>
      <c r="N23" s="159" t="s">
        <v>130</v>
      </c>
      <c r="O23" s="220" t="str">
        <f t="shared" ref="O23:O25" si="26">IF(N23&lt;=0,"",IF(N23&lt;="La actividad que conlleva el riesgo se ejecuta como máximos 2 veces por año","Muy Baja",IF(N23="La actividad que conlleva el riesgo se ejecuta de 3 a 24 veces por año","Baja",IF(N23="La actividad que conlleva el riesgo se ejecuta de 24 a 500 veces por año","Media",IF(N23="La actividad que conlleva el riesgo se ejecuta mínimo 500 veces al año y máximo 5000 veces por año","Alta","Muy Alta")))))</f>
        <v>Media</v>
      </c>
      <c r="P23" s="216">
        <f t="shared" ref="P23:P25" si="27">IF(O23="","",IF(O23="Muy Baja",0.2,IF(O23="Baja",0.4,IF(O23="Media",0.6,IF(O23="Alta",0.8,IF(O23="Muy Alta",1,))))))</f>
        <v>0.6</v>
      </c>
      <c r="Q23" s="165" t="s">
        <v>217</v>
      </c>
      <c r="R23" s="293" t="str">
        <f ca="1">IF(NOT(ISERROR(MATCH(Q23,_xlfn.ANCHORARRAY(#REF!),0))),#REF!&amp;"Por favor no seleccionar los criterios de impacto",Q23)</f>
        <v xml:space="preserve">     El riesgo afecta la imagen de la entidad internamente, de conocimiento general, nivel interno, de junta dircetiva y accionistas y/o de provedores</v>
      </c>
      <c r="S23" s="220" t="str">
        <f ca="1">IF(OR(R23='Tabla Impacto'!$C$11,R23='Tabla Impacto'!$D$11),"Leve",IF(OR(R23='Tabla Impacto'!$C$12,R23='Tabla Impacto'!$D$12),"Menor",IF(OR(R23='Tabla Impacto'!$C$13,R23='Tabla Impacto'!$D$13),"Moderado",IF(OR(R23='Tabla Impacto'!$C$14,R23='Tabla Impacto'!$D$14),"Mayor",IF(OR(R23='Tabla Impacto'!$C$15,R23='Tabla Impacto'!$D$15),"Catastrófico","")))))</f>
        <v>Menor</v>
      </c>
      <c r="T23" s="216">
        <f t="shared" ca="1" si="23"/>
        <v>0.4</v>
      </c>
      <c r="U23" s="252" t="str">
        <f t="shared" ref="U23:U25" ca="1" si="28">IF(OR(AND(O23="Muy Baja",S23="Leve"),AND(O23="Muy Baja",S23="Menor"),AND(O23="Baja",S23="Leve")),"Bajo",IF(OR(AND(O23="Muy baja",S23="Moderado"),AND(O23="Baja",S23="Menor"),AND(O23="Baja",S23="Moderado"),AND(O23="Media",S23="Leve"),AND(O23="Media",S23="Menor"),AND(O23="Media",S23="Moderado"),AND(O23="Alta",S23="Leve"),AND(O23="Alta",S23="Menor")),"Moderado",IF(OR(AND(O23="Muy Baja",S23="Mayor"),AND(O23="Baja",S23="Mayor"),AND(O23="Media",S23="Mayor"),AND(O23="Alta",S23="Moderado"),AND(O23="Alta",S23="Mayor"),AND(O23="Muy Alta",S23="Leve"),AND(O23="Muy Alta",S23="Menor"),AND(O23="Muy Alta",S23="Moderado"),AND(O23="Muy Alta",S23="Mayor")),"Alto",IF(OR(AND(O23="Muy Baja",S23="Catastrófico"),AND(O23="Baja",S23="Catastrófico"),AND(O23="Media",S23="Catastrófico"),AND(O23="Alta",S23="Catastrófico"),AND(O23="Muy Alta",S23="Catastrófico")),"Extremo",""))))</f>
        <v>Moderado</v>
      </c>
      <c r="V23" s="182">
        <v>2</v>
      </c>
      <c r="W23" s="160" t="s">
        <v>542</v>
      </c>
      <c r="X23" s="182" t="s">
        <v>111</v>
      </c>
      <c r="Y23" s="235" t="s">
        <v>112</v>
      </c>
      <c r="Z23" s="198" t="str">
        <f t="shared" ref="Z23:Z25" si="29">IF(AND(X23="Preventivo",Y23="Automático"),"50%",IF(AND(X23="Preventivo",Y23="Manual"),"40%",IF(AND(X23="Detectivo",Y23="Automático"),"40%",IF(AND(X23="Detectivo",Y23="Manual"),"30%",IF(AND(X23="Correctivo",Y23="Automático"),"35%",IF(AND(X23="Correctivo",Y23="Manual"),"25%",""))))))</f>
        <v>40%</v>
      </c>
      <c r="AA23" s="209" t="s">
        <v>113</v>
      </c>
      <c r="AB23" s="209" t="s">
        <v>148</v>
      </c>
      <c r="AC23" s="235" t="s">
        <v>115</v>
      </c>
      <c r="AD23" s="199">
        <f>IFERROR(IF(AND(AE22="Probabilidad",AE23="Probabilidad"),(AK22-(+AK22*Z23)),IF(AE23="Probabilidad",(P22-(+P22*Z23)),IF(AE23="Impacto",AK22,""))),"")</f>
        <v>0.216</v>
      </c>
      <c r="AE23" s="199" t="str">
        <f t="shared" si="6"/>
        <v>Probabilidad</v>
      </c>
      <c r="AF23" s="200" t="s">
        <v>228</v>
      </c>
      <c r="AG23" s="166" t="s">
        <v>209</v>
      </c>
      <c r="AH23" s="200" t="s">
        <v>167</v>
      </c>
      <c r="AI23" s="263" t="s">
        <v>134</v>
      </c>
      <c r="AJ23" s="220" t="str">
        <f t="shared" si="24"/>
        <v>Baja</v>
      </c>
      <c r="AK23" s="247">
        <f t="shared" si="21"/>
        <v>0.216</v>
      </c>
      <c r="AL23" s="220" t="str">
        <f t="shared" si="7"/>
        <v>Menor</v>
      </c>
      <c r="AM23" s="247">
        <f>IFERROR(IF(AND(AE22="Impacto",AE23="Impacto"),(AM22-(+AM22*Z23)),IF(AE23="Impacto",($T$8-(+$T$8*AE23)),IF(AE23="Probabilidad",AM22,""))),"")</f>
        <v>0.4</v>
      </c>
      <c r="AN23" s="252" t="str">
        <f>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Moderado</v>
      </c>
      <c r="AO23" s="228" t="s">
        <v>190</v>
      </c>
      <c r="AP23" s="244" t="s">
        <v>191</v>
      </c>
      <c r="AQ23" s="244" t="s">
        <v>191</v>
      </c>
      <c r="AR23" s="212" t="s">
        <v>192</v>
      </c>
      <c r="AS23" s="212" t="s">
        <v>193</v>
      </c>
      <c r="AT23" s="212" t="s">
        <v>193</v>
      </c>
      <c r="AU23" s="244" t="s">
        <v>134</v>
      </c>
      <c r="AV23" s="244" t="s">
        <v>134</v>
      </c>
      <c r="AW23" s="244" t="s">
        <v>134</v>
      </c>
      <c r="AX23" s="244" t="s">
        <v>134</v>
      </c>
      <c r="AY23" s="178"/>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row>
    <row r="24" spans="3:82" s="131" customFormat="1" ht="165.75" thickBot="1" x14ac:dyDescent="0.3">
      <c r="C24" s="278">
        <v>18</v>
      </c>
      <c r="D24" s="160" t="s">
        <v>222</v>
      </c>
      <c r="E24" s="160" t="s">
        <v>176</v>
      </c>
      <c r="F24" s="211" t="s">
        <v>195</v>
      </c>
      <c r="G24" s="211" t="s">
        <v>223</v>
      </c>
      <c r="H24" s="213" t="s">
        <v>196</v>
      </c>
      <c r="I24" s="284" t="s">
        <v>564</v>
      </c>
      <c r="J24" s="287" t="s">
        <v>586</v>
      </c>
      <c r="K24" s="172" t="s">
        <v>105</v>
      </c>
      <c r="L24" s="174" t="s">
        <v>224</v>
      </c>
      <c r="M24" s="213" t="s">
        <v>225</v>
      </c>
      <c r="N24" s="173" t="s">
        <v>130</v>
      </c>
      <c r="O24" s="219" t="str">
        <f t="shared" si="26"/>
        <v>Media</v>
      </c>
      <c r="P24" s="215">
        <f t="shared" si="27"/>
        <v>0.6</v>
      </c>
      <c r="Q24" s="175" t="s">
        <v>217</v>
      </c>
      <c r="R24" s="294" t="str">
        <f ca="1">IF(NOT(ISERROR(MATCH(Q24,_xlfn.ANCHORARRAY(#REF!),0))),#REF!&amp;"Por favor no seleccionar los criterios de impacto",Q24)</f>
        <v xml:space="preserve">     El riesgo afecta la imagen de la entidad internamente, de conocimiento general, nivel interno, de junta dircetiva y accionistas y/o de provedores</v>
      </c>
      <c r="S24" s="232" t="str">
        <f ca="1">IF(OR(R24='Tabla Impacto'!$C$11,R24='Tabla Impacto'!$D$11),"Leve",IF(OR(R24='Tabla Impacto'!$C$12,R24='Tabla Impacto'!$D$12),"Menor",IF(OR(R24='Tabla Impacto'!$C$13,R24='Tabla Impacto'!$D$13),"Moderado",IF(OR(R24='Tabla Impacto'!$C$14,R24='Tabla Impacto'!$D$14),"Mayor",IF(OR(R24='Tabla Impacto'!$C$15,R24='Tabla Impacto'!$D$15),"Catastrófico","")))))</f>
        <v>Menor</v>
      </c>
      <c r="T24" s="215">
        <f t="shared" ca="1" si="23"/>
        <v>0.4</v>
      </c>
      <c r="U24" s="253" t="str">
        <f t="shared" ca="1" si="28"/>
        <v>Moderado</v>
      </c>
      <c r="V24" s="187">
        <v>3</v>
      </c>
      <c r="W24" s="174" t="s">
        <v>198</v>
      </c>
      <c r="X24" s="187" t="s">
        <v>111</v>
      </c>
      <c r="Y24" s="237" t="s">
        <v>164</v>
      </c>
      <c r="Z24" s="203" t="str">
        <f t="shared" si="29"/>
        <v>50%</v>
      </c>
      <c r="AA24" s="209" t="s">
        <v>113</v>
      </c>
      <c r="AB24" s="209" t="s">
        <v>148</v>
      </c>
      <c r="AC24" s="235" t="s">
        <v>115</v>
      </c>
      <c r="AD24" s="205">
        <f>IFERROR(IF(AND(AE23="Probabilidad",AE24="Probabilidad"),(AK23-(+AK23*Z24)),IF(AND(AE23="Impacto",AE24="Probabilidad"),(Z23-(+Z23*Z24)),IF(AE24="Impacto",AE23,""))),"")</f>
        <v>0.108</v>
      </c>
      <c r="AE24" s="199" t="str">
        <f t="shared" si="6"/>
        <v>Probabilidad</v>
      </c>
      <c r="AF24" s="200" t="s">
        <v>229</v>
      </c>
      <c r="AG24" s="166" t="s">
        <v>230</v>
      </c>
      <c r="AH24" s="200" t="s">
        <v>167</v>
      </c>
      <c r="AI24" s="263" t="s">
        <v>134</v>
      </c>
      <c r="AJ24" s="220" t="str">
        <f t="shared" si="24"/>
        <v>Muy Baja</v>
      </c>
      <c r="AK24" s="247">
        <f t="shared" si="21"/>
        <v>0.108</v>
      </c>
      <c r="AL24" s="221" t="str">
        <f t="shared" si="7"/>
        <v>Menor</v>
      </c>
      <c r="AM24" s="247">
        <f>IFERROR(IF(AND(AE23="Impacto",AE24="Impacto"),(AM23-(+AM23*Z24)),IF(AND(AE23="Probabilidad",AE24="Impacto"),(AM22-(+AM22*Z24)),IF(AE24="Probabilidad",AM23,""))),"")</f>
        <v>0.4</v>
      </c>
      <c r="AN24" s="253" t="str">
        <f>IFERROR(IF(OR(AND(AJ24="Muy Baja",AL24="Leve"),AND(AJ24="Muy Baja",AL24="Menor"),AND(AJ24="Baja",AL24="Leve")),"Bajo",IF(OR(AND(AJ24="Muy baja",AL24="Moderado"),AND(AJ24="Baja",AL24="Menor"),AND(AJ24="Baja",AL24="Moderado"),AND(AJ24="Media",AL24="Leve"),AND(AJ24="Media",AL24="Menor"),AND(AJ24="Media",AL24="Moderado"),AND(AJ24="Alta",AL24="Leve"),AND(AJ24="Alta",AL24="Menor")),"Moderado",IF(OR(AND(AJ24="Muy Baja",AL24="Mayor"),AND(AJ24="Baja",AL24="Mayor"),AND(AJ24="Media",AL24="Mayor"),AND(AJ24="Alta",AL24="Moderado"),AND(AJ24="Alta",AL24="Mayor"),AND(AJ24="Muy Alta",AL24="Leve"),AND(AJ24="Muy Alta",AL24="Menor"),AND(AJ24="Muy Alta",AL24="Moderado"),AND(AJ24="Muy Alta",AL24="Mayor")),"Alto",IF(OR(AND(AJ24="Muy Baja",AL24="Catastrófico"),AND(AJ24="Baja",AL24="Catastrófico"),AND(AJ24="Media",AL24="Catastrófico"),AND(AJ24="Alta",AL24="Catastrófico"),AND(AJ24="Muy Alta",AL24="Catastrófico")),"Extremo","")))),"")</f>
        <v>Bajo</v>
      </c>
      <c r="AO24" s="228" t="s">
        <v>120</v>
      </c>
      <c r="AP24" s="212" t="s">
        <v>201</v>
      </c>
      <c r="AQ24" s="212" t="s">
        <v>200</v>
      </c>
      <c r="AR24" s="212" t="s">
        <v>202</v>
      </c>
      <c r="AS24" s="212" t="s">
        <v>203</v>
      </c>
      <c r="AT24" s="212" t="s">
        <v>204</v>
      </c>
      <c r="AU24" s="244">
        <v>44562</v>
      </c>
      <c r="AV24" s="244">
        <v>44896</v>
      </c>
      <c r="AW24" s="212" t="s">
        <v>205</v>
      </c>
      <c r="AX24" s="184" t="s">
        <v>126</v>
      </c>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row>
    <row r="25" spans="3:82" s="131" customFormat="1" ht="165.75" thickBot="1" x14ac:dyDescent="0.3">
      <c r="C25" s="278">
        <v>19</v>
      </c>
      <c r="D25" s="172" t="s">
        <v>222</v>
      </c>
      <c r="E25" s="174" t="s">
        <v>176</v>
      </c>
      <c r="F25" s="213" t="s">
        <v>195</v>
      </c>
      <c r="G25" s="212" t="s">
        <v>223</v>
      </c>
      <c r="H25" s="212" t="s">
        <v>196</v>
      </c>
      <c r="I25" s="284" t="s">
        <v>565</v>
      </c>
      <c r="J25" s="287" t="s">
        <v>586</v>
      </c>
      <c r="K25" s="154" t="s">
        <v>105</v>
      </c>
      <c r="L25" s="155" t="s">
        <v>224</v>
      </c>
      <c r="M25" s="212" t="s">
        <v>225</v>
      </c>
      <c r="N25" s="159" t="s">
        <v>130</v>
      </c>
      <c r="O25" s="221" t="str">
        <f t="shared" si="26"/>
        <v>Media</v>
      </c>
      <c r="P25" s="216">
        <f t="shared" si="27"/>
        <v>0.6</v>
      </c>
      <c r="Q25" s="165" t="s">
        <v>217</v>
      </c>
      <c r="R25" s="297" t="str">
        <f ca="1">IF(NOT(ISERROR(MATCH(Q25,_xlfn.ANCHORARRAY(#REF!),0))),#REF!&amp;"Por favor no seleccionar los criterios de impacto",Q25)</f>
        <v xml:space="preserve">     El riesgo afecta la imagen de la entidad internamente, de conocimiento general, nivel interno, de junta dircetiva y accionistas y/o de provedores</v>
      </c>
      <c r="S25" s="220" t="str">
        <f ca="1">IF(OR(R25='Tabla Impacto'!$C$11,R25='Tabla Impacto'!$D$11),"Leve",IF(OR(R25='Tabla Impacto'!$C$12,R25='Tabla Impacto'!$D$12),"Menor",IF(OR(R25='Tabla Impacto'!$C$13,R25='Tabla Impacto'!$D$13),"Moderado",IF(OR(R25='Tabla Impacto'!$C$14,R25='Tabla Impacto'!$D$14),"Mayor",IF(OR(R25='Tabla Impacto'!$C$15,R25='Tabla Impacto'!$D$15),"Catastrófico","")))))</f>
        <v>Menor</v>
      </c>
      <c r="T25" s="216">
        <f t="shared" ca="1" si="23"/>
        <v>0.4</v>
      </c>
      <c r="U25" s="254" t="str">
        <f t="shared" ca="1" si="28"/>
        <v>Moderado</v>
      </c>
      <c r="V25" s="182">
        <v>4</v>
      </c>
      <c r="W25" s="161" t="s">
        <v>206</v>
      </c>
      <c r="X25" s="182" t="s">
        <v>111</v>
      </c>
      <c r="Y25" s="236" t="s">
        <v>164</v>
      </c>
      <c r="Z25" s="198" t="str">
        <f t="shared" si="29"/>
        <v>50%</v>
      </c>
      <c r="AA25" s="209" t="s">
        <v>113</v>
      </c>
      <c r="AB25" s="209" t="s">
        <v>148</v>
      </c>
      <c r="AC25" s="236" t="s">
        <v>115</v>
      </c>
      <c r="AD25" s="199">
        <f>IFERROR(IF(AND(AE24="Probabilidad",AE25="Probabilidad"),(AK24-(+AK24*Z25)),IF(AND(AE24="Impacto",AE25="Probabilidad"),(Z24-(+Z24*Z25)),IF(AE25="Impacto",AE24,""))),"")</f>
        <v>5.3999999999999999E-2</v>
      </c>
      <c r="AE25" s="199" t="str">
        <f t="shared" si="6"/>
        <v>Probabilidad</v>
      </c>
      <c r="AF25" s="202" t="s">
        <v>229</v>
      </c>
      <c r="AG25" s="166" t="s">
        <v>230</v>
      </c>
      <c r="AH25" s="200" t="s">
        <v>167</v>
      </c>
      <c r="AI25" s="263" t="s">
        <v>134</v>
      </c>
      <c r="AJ25" s="220" t="str">
        <f t="shared" si="24"/>
        <v>Muy Baja</v>
      </c>
      <c r="AK25" s="247">
        <f t="shared" si="21"/>
        <v>5.3999999999999999E-2</v>
      </c>
      <c r="AL25" s="220" t="str">
        <f t="shared" si="7"/>
        <v>Menor</v>
      </c>
      <c r="AM25" s="247">
        <f>IFERROR(IF(AND(AE24="Impacto",AE25="Impacto"),(AM24-(+AM24*Z25)),IF(AND(AE24="Probabilidad",AE25="Impacto"),(AM23-(+AM23*Z25)),IF(AE25="Probabilidad",AM24,""))),"")</f>
        <v>0.4</v>
      </c>
      <c r="AN25" s="252" t="str">
        <f t="shared" ref="AN25" si="30">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Bajo</v>
      </c>
      <c r="AO25" s="228" t="s">
        <v>527</v>
      </c>
      <c r="AP25" s="211" t="s">
        <v>201</v>
      </c>
      <c r="AQ25" s="211" t="s">
        <v>200</v>
      </c>
      <c r="AR25" s="211" t="s">
        <v>202</v>
      </c>
      <c r="AS25" s="211" t="s">
        <v>203</v>
      </c>
      <c r="AT25" s="211" t="s">
        <v>204</v>
      </c>
      <c r="AU25" s="242">
        <v>44562</v>
      </c>
      <c r="AV25" s="242">
        <v>44896</v>
      </c>
      <c r="AW25" s="211" t="s">
        <v>205</v>
      </c>
      <c r="AX25" s="182" t="s">
        <v>126</v>
      </c>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c r="BW25" s="130"/>
      <c r="BX25" s="130"/>
      <c r="BY25" s="130"/>
      <c r="BZ25" s="130"/>
      <c r="CA25" s="130"/>
      <c r="CB25" s="130"/>
      <c r="CC25" s="130"/>
      <c r="CD25" s="130"/>
    </row>
    <row r="26" spans="3:82" s="131" customFormat="1" ht="144.75" customHeight="1" thickBot="1" x14ac:dyDescent="0.3">
      <c r="C26" s="278">
        <v>20</v>
      </c>
      <c r="D26" s="160" t="s">
        <v>231</v>
      </c>
      <c r="E26" s="161" t="s">
        <v>176</v>
      </c>
      <c r="F26" s="211" t="s">
        <v>102</v>
      </c>
      <c r="G26" s="273" t="s">
        <v>543</v>
      </c>
      <c r="H26" s="211" t="s">
        <v>233</v>
      </c>
      <c r="I26" s="284" t="s">
        <v>566</v>
      </c>
      <c r="J26" s="287" t="s">
        <v>585</v>
      </c>
      <c r="K26" s="160" t="s">
        <v>105</v>
      </c>
      <c r="L26" s="161" t="s">
        <v>106</v>
      </c>
      <c r="M26" s="211" t="s">
        <v>234</v>
      </c>
      <c r="N26" s="156" t="s">
        <v>216</v>
      </c>
      <c r="O26" s="219" t="str">
        <f>IF(N26&lt;=0,"",IF(N26&lt;="La actividad que conlleva el riesgo se ejecuta como máximos 2 veces por año","Muy Baja",IF(N26="La actividad que conlleva el riesgo se ejecuta de 3 a 24 veces por año","Baja",IF(N26="La actividad que conlleva el riesgo se ejecuta de 24 a 500 veces por año","Media",IF(N26="La actividad que conlleva el riesgo se ejecuta mínimo 500 veces al año y máximo 5000 veces por año","Alta","Muy Alta")))))</f>
        <v>Muy Baja</v>
      </c>
      <c r="P26" s="215">
        <f>IF(O26="","",IF(O26="Muy Baja",0.2,IF(O26="Baja",0.4,IF(O26="Media",0.6,IF(O26="Alta",0.8,IF(O26="Muy Alta",1,))))))</f>
        <v>0.2</v>
      </c>
      <c r="Q26" s="175" t="s">
        <v>109</v>
      </c>
      <c r="R26" s="306" t="str">
        <f>IF(NOT(ISERROR(MATCH(Q26,'Tabla Impacto'!$B$221:$B$223,0))),'Tabla Impacto'!$F$223&amp;"Por favor no seleccionar los criterios de impacto(Afectación Económica o presupuestal y Pérdida Reputacional)",Q26)</f>
        <v xml:space="preserve">     El riesgo afecta la imagen de la entidad con algunos usuarios de relevancia frente al logro de los objetivos</v>
      </c>
      <c r="S26" s="229" t="str">
        <f>IF(OR(R26='Tabla Impacto'!$C$11,R26='Tabla Impacto'!$D$11),"Leve",IF(OR(R26='Tabla Impacto'!$C$12,R26='Tabla Impacto'!$D$12),"Menor",IF(OR(R26='Tabla Impacto'!$C$13,R26='Tabla Impacto'!$D$13),"Moderado",IF(OR(R26='Tabla Impacto'!$C$14,R26='Tabla Impacto'!$D$14),"Mayor",IF(OR(R26='Tabla Impacto'!$C$15,R26='Tabla Impacto'!$D$15),"Catastrófico","")))))</f>
        <v>Moderado</v>
      </c>
      <c r="T26" s="215">
        <f t="shared" si="23"/>
        <v>0.6</v>
      </c>
      <c r="U26" s="253" t="str">
        <f>IF(OR(AND(O26="Muy Baja",S26="Leve"),AND(O26="Muy Baja",S26="Menor"),AND(O26="Baja",S26="Leve")),"Bajo",IF(OR(AND(O26="Muy baja",S26="Moderado"),AND(O26="Baja",S26="Menor"),AND(O26="Baja",S26="Moderado"),AND(O26="Media",S26="Leve"),AND(O26="Media",S26="Menor"),AND(O26="Media",S26="Moderado"),AND(O26="Alta",S26="Leve"),AND(O26="Alta",S26="Menor")),"Moderado",IF(OR(AND(O26="Muy Baja",S26="Mayor"),AND(O26="Baja",S26="Mayor"),AND(O26="Media",S26="Mayor"),AND(O26="Alta",S26="Moderado"),AND(O26="Alta",S26="Mayor"),AND(O26="Muy Alta",S26="Leve"),AND(O26="Muy Alta",S26="Menor"),AND(O26="Muy Alta",S26="Moderado"),AND(O26="Muy Alta",S26="Mayor")),"Alto",IF(OR(AND(O26="Muy Baja",S26="Catastrófico"),AND(O26="Baja",S26="Catastrófico"),AND(O26="Media",S26="Catastrófico"),AND(O26="Alta",S26="Catastrófico"),AND(O26="Muy Alta",S26="Catastrófico")),"Extremo",""))))</f>
        <v>Moderado</v>
      </c>
      <c r="V26" s="187">
        <v>1</v>
      </c>
      <c r="W26" s="174" t="s">
        <v>207</v>
      </c>
      <c r="X26" s="187" t="s">
        <v>111</v>
      </c>
      <c r="Y26" s="237" t="s">
        <v>112</v>
      </c>
      <c r="Z26" s="203" t="str">
        <f>IF(AND(X26="Preventivo",Y26="Automático"),"50%",IF(AND(X26="Preventivo",Y26="Manual"),"40%",IF(AND(X26="Detectivo",Y26="Automático"),"40%",IF(AND(X26="Detectivo",Y26="Manual"),"30%",IF(AND(X26="Correctivo",Y26="Automático"),"35%",IF(AND(X26="Correctivo",Y26="Manual"),"25%",""))))))</f>
        <v>40%</v>
      </c>
      <c r="AA26" s="209" t="s">
        <v>113</v>
      </c>
      <c r="AB26" s="209" t="s">
        <v>148</v>
      </c>
      <c r="AC26" s="237" t="s">
        <v>115</v>
      </c>
      <c r="AD26" s="199">
        <f>IFERROR(IF(AE26="Probabilidad",(P26-(+P26*Z26)),IF(AE26="Impacto",P26,"")),"")</f>
        <v>0.12</v>
      </c>
      <c r="AE26" s="206" t="str">
        <f t="shared" si="6"/>
        <v>Probabilidad</v>
      </c>
      <c r="AF26" s="201" t="s">
        <v>208</v>
      </c>
      <c r="AG26" s="179" t="s">
        <v>209</v>
      </c>
      <c r="AH26" s="269" t="s">
        <v>167</v>
      </c>
      <c r="AI26" s="265" t="s">
        <v>134</v>
      </c>
      <c r="AJ26" s="220" t="str">
        <f t="shared" si="24"/>
        <v>Muy Baja</v>
      </c>
      <c r="AK26" s="247">
        <f t="shared" si="21"/>
        <v>0.12</v>
      </c>
      <c r="AL26" s="220" t="str">
        <f t="shared" si="7"/>
        <v>Moderado</v>
      </c>
      <c r="AM26" s="247">
        <f>IFERROR(IF(AE26="Impacto",(T26-(+T26*Z26)),IF(AE26="Probabilidad",T26,"")),"")</f>
        <v>0.6</v>
      </c>
      <c r="AN26" s="252" t="str">
        <f>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Moderado</v>
      </c>
      <c r="AO26" s="228" t="s">
        <v>190</v>
      </c>
      <c r="AP26" s="242" t="s">
        <v>191</v>
      </c>
      <c r="AQ26" s="242" t="s">
        <v>191</v>
      </c>
      <c r="AR26" s="211" t="s">
        <v>192</v>
      </c>
      <c r="AS26" s="211" t="s">
        <v>193</v>
      </c>
      <c r="AT26" s="211" t="s">
        <v>193</v>
      </c>
      <c r="AU26" s="242" t="s">
        <v>134</v>
      </c>
      <c r="AV26" s="242" t="s">
        <v>134</v>
      </c>
      <c r="AW26" s="242" t="s">
        <v>134</v>
      </c>
      <c r="AX26" s="242" t="s">
        <v>134</v>
      </c>
      <c r="AY26" s="178"/>
      <c r="AZ26" s="178"/>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row>
    <row r="27" spans="3:82" s="131" customFormat="1" ht="150.75" thickBot="1" x14ac:dyDescent="0.3">
      <c r="C27" s="278">
        <v>21</v>
      </c>
      <c r="D27" s="172" t="s">
        <v>231</v>
      </c>
      <c r="E27" s="174" t="s">
        <v>176</v>
      </c>
      <c r="F27" s="213" t="s">
        <v>102</v>
      </c>
      <c r="G27" s="275" t="s">
        <v>232</v>
      </c>
      <c r="H27" s="213" t="s">
        <v>233</v>
      </c>
      <c r="I27" s="284" t="s">
        <v>566</v>
      </c>
      <c r="J27" s="287" t="s">
        <v>585</v>
      </c>
      <c r="K27" s="172" t="s">
        <v>105</v>
      </c>
      <c r="L27" s="174" t="s">
        <v>106</v>
      </c>
      <c r="M27" s="213" t="s">
        <v>234</v>
      </c>
      <c r="N27" s="173" t="s">
        <v>216</v>
      </c>
      <c r="O27" s="220" t="str">
        <f t="shared" ref="O27:O29" si="31">IF(N27&lt;=0,"",IF(N27&lt;="La actividad que conlleva el riesgo se ejecuta como máximos 2 veces por año","Muy Baja",IF(N27="La actividad que conlleva el riesgo se ejecuta de 3 a 24 veces por año","Baja",IF(N27="La actividad que conlleva el riesgo se ejecuta de 24 a 500 veces por año","Media",IF(N27="La actividad que conlleva el riesgo se ejecuta mínimo 500 veces al año y máximo 5000 veces por año","Alta","Muy Alta")))))</f>
        <v>Muy Baja</v>
      </c>
      <c r="P27" s="216">
        <f>IF(O27="","",IF(O27="Muy Baja",0.2,IF(O27="Baja",0.4,IF(O27="Media",0.6,IF(O27="Alta",0.8,IF(O27="Muy Alta",1,))))))</f>
        <v>0.2</v>
      </c>
      <c r="Q27" s="165" t="s">
        <v>109</v>
      </c>
      <c r="R27" s="293" t="str">
        <f ca="1">IF(NOT(ISERROR(MATCH(Q27,_xlfn.ANCHORARRAY(#REF!),0))),#REF!&amp;"Por favor no seleccionar los criterios de impacto",Q27)</f>
        <v xml:space="preserve">     El riesgo afecta la imagen de la entidad con algunos usuarios de relevancia frente al logro de los objetivos</v>
      </c>
      <c r="S27" s="220" t="str">
        <f ca="1">IF(OR(R27='Tabla Impacto'!$C$11,R27='Tabla Impacto'!$D$11),"Leve",IF(OR(R27='Tabla Impacto'!$C$12,R27='Tabla Impacto'!$D$12),"Menor",IF(OR(R27='Tabla Impacto'!$C$13,R27='Tabla Impacto'!$D$13),"Moderado",IF(OR(R27='Tabla Impacto'!$C$14,R27='Tabla Impacto'!$D$14),"Mayor",IF(OR(R27='Tabla Impacto'!$C$15,R27='Tabla Impacto'!$D$15),"Catastrófico","")))))</f>
        <v>Moderado</v>
      </c>
      <c r="T27" s="216">
        <f t="shared" ca="1" si="23"/>
        <v>0.6</v>
      </c>
      <c r="U27" s="252" t="str">
        <f ca="1">IF(OR(AND(O27="Muy Baja",S27="Leve"),AND(O27="Muy Baja",S27="Menor"),AND(O27="Baja",S27="Leve")),"Bajo",IF(OR(AND(O27="Muy baja",S27="Moderado"),AND(O27="Baja",S27="Menor"),AND(O27="Baja",S27="Moderado"),AND(O27="Media",S27="Leve"),AND(O27="Media",S27="Menor"),AND(O27="Media",S27="Moderado"),AND(O27="Alta",S27="Leve"),AND(O27="Alta",S27="Menor")),"Moderado",IF(OR(AND(O27="Muy Baja",S27="Mayor"),AND(O27="Baja",S27="Mayor"),AND(O27="Media",S27="Mayor"),AND(O27="Alta",S27="Moderado"),AND(O27="Alta",S27="Mayor"),AND(O27="Muy Alta",S27="Leve"),AND(O27="Muy Alta",S27="Menor"),AND(O27="Muy Alta",S27="Moderado"),AND(O27="Muy Alta",S27="Mayor")),"Alto",IF(OR(AND(O27="Muy Baja",S27="Catastrófico"),AND(O27="Baja",S27="Catastrófico"),AND(O27="Media",S27="Catastrófico"),AND(O27="Alta",S27="Catastrófico"),AND(O27="Muy Alta",S27="Catastrófico")),"Extremo",""))))</f>
        <v>Moderado</v>
      </c>
      <c r="V27" s="182">
        <v>2</v>
      </c>
      <c r="W27" s="180" t="s">
        <v>210</v>
      </c>
      <c r="X27" s="182" t="s">
        <v>111</v>
      </c>
      <c r="Y27" s="236" t="s">
        <v>112</v>
      </c>
      <c r="Z27" s="198" t="str">
        <f t="shared" ref="Z27:Z29" si="32">IF(AND(X27="Preventivo",Y27="Automático"),"50%",IF(AND(X27="Preventivo",Y27="Manual"),"40%",IF(AND(X27="Detectivo",Y27="Automático"),"40%",IF(AND(X27="Detectivo",Y27="Manual"),"30%",IF(AND(X27="Correctivo",Y27="Automático"),"35%",IF(AND(X27="Correctivo",Y27="Manual"),"25%",""))))))</f>
        <v>40%</v>
      </c>
      <c r="AA27" s="209" t="s">
        <v>113</v>
      </c>
      <c r="AB27" s="209" t="s">
        <v>148</v>
      </c>
      <c r="AC27" s="236" t="s">
        <v>115</v>
      </c>
      <c r="AD27" s="199">
        <f>IFERROR(IF(AND(AE26="Probabilidad",AE27="Probabilidad"),(AK26-(+AK26*Z27)),IF(AE27="Probabilidad",(P26-(+P26*Z27)),IF(AE27="Impacto",AK26,""))),"")</f>
        <v>7.1999999999999995E-2</v>
      </c>
      <c r="AE27" s="199" t="str">
        <f t="shared" si="6"/>
        <v>Probabilidad</v>
      </c>
      <c r="AF27" s="202" t="s">
        <v>211</v>
      </c>
      <c r="AG27" s="166" t="s">
        <v>209</v>
      </c>
      <c r="AH27" s="200" t="s">
        <v>167</v>
      </c>
      <c r="AI27" s="266" t="s">
        <v>134</v>
      </c>
      <c r="AJ27" s="220" t="str">
        <f t="shared" si="24"/>
        <v>Muy Baja</v>
      </c>
      <c r="AK27" s="247">
        <f t="shared" si="21"/>
        <v>7.1999999999999995E-2</v>
      </c>
      <c r="AL27" s="220" t="str">
        <f t="shared" si="7"/>
        <v>Moderado</v>
      </c>
      <c r="AM27" s="261">
        <f>IFERROR(IF(AND(AE26="Impacto",AE27="Impacto"),(AM26-(+AM26*Z27)),IF(AE27="Impacto",($T$8-(+$T$8*AE27)),IF(AE27="Probabilidad",AM26,""))),"")</f>
        <v>0.6</v>
      </c>
      <c r="AN27" s="252" t="str">
        <f>IFERROR(IF(OR(AND(AJ27="Muy Baja",AL27="Leve"),AND(AJ27="Muy Baja",AL27="Menor"),AND(AJ27="Baja",AL27="Leve")),"Bajo",IF(OR(AND(AJ27="Muy baja",AL27="Moderado"),AND(AJ27="Baja",AL27="Menor"),AND(AJ27="Baja",AL27="Moderado"),AND(AJ27="Media",AL27="Leve"),AND(AJ27="Media",AL27="Menor"),AND(AJ27="Media",AL27="Moderado"),AND(AJ27="Alta",AL27="Leve"),AND(AJ27="Alta",AL27="Menor")),"Moderado",IF(OR(AND(AJ27="Muy Baja",AL27="Mayor"),AND(AJ27="Baja",AL27="Mayor"),AND(AJ27="Media",AL27="Mayor"),AND(AJ27="Alta",AL27="Moderado"),AND(AJ27="Alta",AL27="Mayor"),AND(AJ27="Muy Alta",AL27="Leve"),AND(AJ27="Muy Alta",AL27="Menor"),AND(AJ27="Muy Alta",AL27="Moderado"),AND(AJ27="Muy Alta",AL27="Mayor")),"Alto",IF(OR(AND(AJ27="Muy Baja",AL27="Catastrófico"),AND(AJ27="Baja",AL27="Catastrófico"),AND(AJ27="Media",AL27="Catastrófico"),AND(AJ27="Alta",AL27="Catastrófico"),AND(AJ27="Muy Alta",AL27="Catastrófico")),"Extremo","")))),"")</f>
        <v>Moderado</v>
      </c>
      <c r="AO27" s="228" t="s">
        <v>190</v>
      </c>
      <c r="AP27" s="242" t="s">
        <v>191</v>
      </c>
      <c r="AQ27" s="242" t="s">
        <v>191</v>
      </c>
      <c r="AR27" s="211" t="s">
        <v>192</v>
      </c>
      <c r="AS27" s="211" t="s">
        <v>193</v>
      </c>
      <c r="AT27" s="211" t="s">
        <v>193</v>
      </c>
      <c r="AU27" s="242" t="s">
        <v>134</v>
      </c>
      <c r="AV27" s="242" t="s">
        <v>134</v>
      </c>
      <c r="AW27" s="242" t="s">
        <v>191</v>
      </c>
      <c r="AX27" s="242" t="s">
        <v>134</v>
      </c>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row>
    <row r="28" spans="3:82" s="131" customFormat="1" ht="150.75" thickBot="1" x14ac:dyDescent="0.3">
      <c r="C28" s="278">
        <v>22</v>
      </c>
      <c r="D28" s="160" t="s">
        <v>231</v>
      </c>
      <c r="E28" s="160" t="s">
        <v>176</v>
      </c>
      <c r="F28" s="211" t="s">
        <v>102</v>
      </c>
      <c r="G28" s="211" t="s">
        <v>232</v>
      </c>
      <c r="H28" s="211" t="s">
        <v>233</v>
      </c>
      <c r="I28" s="284" t="s">
        <v>566</v>
      </c>
      <c r="J28" s="287" t="s">
        <v>585</v>
      </c>
      <c r="K28" s="160" t="s">
        <v>105</v>
      </c>
      <c r="L28" s="160" t="s">
        <v>106</v>
      </c>
      <c r="M28" s="211" t="s">
        <v>234</v>
      </c>
      <c r="N28" s="159" t="s">
        <v>216</v>
      </c>
      <c r="O28" s="219" t="str">
        <f t="shared" si="31"/>
        <v>Muy Baja</v>
      </c>
      <c r="P28" s="216">
        <f>IF(O28="","",IF(O28="Muy Baja",0.2,IF(O28="Baja",0.4,IF(O28="Media",0.6,IF(O28="Alta",0.8,IF(O28="Muy Alta",1,))))))</f>
        <v>0.2</v>
      </c>
      <c r="Q28" s="175" t="s">
        <v>109</v>
      </c>
      <c r="R28" s="294" t="str">
        <f ca="1">IF(NOT(ISERROR(MATCH(Q28,_xlfn.ANCHORARRAY(#REF!),0))),#REF!&amp;"Por favor no seleccionar los criterios de impacto",Q28)</f>
        <v xml:space="preserve">     El riesgo afecta la imagen de la entidad con algunos usuarios de relevancia frente al logro de los objetivos</v>
      </c>
      <c r="S28" s="229" t="str">
        <f ca="1">IF(OR(R28='Tabla Impacto'!$C$11,R28='Tabla Impacto'!$D$11),"Leve",IF(OR(R28='Tabla Impacto'!$C$12,R28='Tabla Impacto'!$D$12),"Menor",IF(OR(R28='Tabla Impacto'!$C$13,R28='Tabla Impacto'!$D$13),"Moderado",IF(OR(R28='Tabla Impacto'!$C$14,R28='Tabla Impacto'!$D$14),"Mayor",IF(OR(R28='Tabla Impacto'!$C$15,R28='Tabla Impacto'!$D$15),"Catastrófico","")))))</f>
        <v>Moderado</v>
      </c>
      <c r="T28" s="215">
        <f t="shared" ca="1" si="23"/>
        <v>0.6</v>
      </c>
      <c r="U28" s="253" t="str">
        <f ca="1">IF(OR(AND(O28="Muy Baja",S28="Leve"),AND(O28="Muy Baja",S28="Menor"),AND(O28="Baja",S28="Leve")),"Bajo",IF(OR(AND(O28="Muy baja",S28="Moderado"),AND(O28="Baja",S28="Menor"),AND(O28="Baja",S28="Moderado"),AND(O28="Media",S28="Leve"),AND(O28="Media",S28="Menor"),AND(O28="Media",S28="Moderado"),AND(O28="Alta",S28="Leve"),AND(O28="Alta",S28="Menor")),"Moderado",IF(OR(AND(O28="Muy Baja",S28="Mayor"),AND(O28="Baja",S28="Mayor"),AND(O28="Media",S28="Mayor"),AND(O28="Alta",S28="Moderado"),AND(O28="Alta",S28="Mayor"),AND(O28="Muy Alta",S28="Leve"),AND(O28="Muy Alta",S28="Menor"),AND(O28="Muy Alta",S28="Moderado"),AND(O28="Muy Alta",S28="Mayor")),"Alto",IF(OR(AND(O28="Muy Baja",S28="Catastrófico"),AND(O28="Baja",S28="Catastrófico"),AND(O28="Media",S28="Catastrófico"),AND(O28="Alta",S28="Catastrófico"),AND(O28="Muy Alta",S28="Catastrófico")),"Extremo",""))))</f>
        <v>Moderado</v>
      </c>
      <c r="V28" s="187">
        <v>3</v>
      </c>
      <c r="W28" s="174" t="s">
        <v>198</v>
      </c>
      <c r="X28" s="187" t="s">
        <v>111</v>
      </c>
      <c r="Y28" s="237" t="s">
        <v>164</v>
      </c>
      <c r="Z28" s="203" t="str">
        <f t="shared" si="32"/>
        <v>50%</v>
      </c>
      <c r="AA28" s="209" t="s">
        <v>113</v>
      </c>
      <c r="AB28" s="209" t="s">
        <v>148</v>
      </c>
      <c r="AC28" s="237" t="s">
        <v>115</v>
      </c>
      <c r="AD28" s="199">
        <f>IFERROR(IF(AND(AE27="Probabilidad",AE28="Probabilidad"),(AK27-(+AK27*Z28)),IF(AND(AE27="Impacto",AE28="Probabilidad"),(Z27-(+Z27*Z28)),IF(AE28="Impacto",AE27,""))),"")</f>
        <v>3.5999999999999997E-2</v>
      </c>
      <c r="AE28" s="199" t="str">
        <f t="shared" si="6"/>
        <v>Probabilidad</v>
      </c>
      <c r="AF28" s="200" t="s">
        <v>199</v>
      </c>
      <c r="AG28" s="166" t="s">
        <v>200</v>
      </c>
      <c r="AH28" s="200" t="s">
        <v>167</v>
      </c>
      <c r="AI28" s="263" t="s">
        <v>134</v>
      </c>
      <c r="AJ28" s="220" t="str">
        <f t="shared" si="24"/>
        <v>Muy Baja</v>
      </c>
      <c r="AK28" s="247">
        <f t="shared" si="21"/>
        <v>3.5999999999999997E-2</v>
      </c>
      <c r="AL28" s="220" t="str">
        <f t="shared" si="7"/>
        <v>Moderado</v>
      </c>
      <c r="AM28" s="247">
        <f>IFERROR(IF(AND(AE27="Impacto",AE28="Impacto"),(AM27-(+AM27*Z28)),IF(AND(AE27="Probabilidad",AE28="Impacto"),(AM26-(+AM26*Z28)),IF(AE28="Probabilidad",AM27,""))),"")</f>
        <v>0.6</v>
      </c>
      <c r="AN28" s="252"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Moderado</v>
      </c>
      <c r="AO28" s="228" t="s">
        <v>120</v>
      </c>
      <c r="AP28" s="211" t="s">
        <v>201</v>
      </c>
      <c r="AQ28" s="211" t="s">
        <v>200</v>
      </c>
      <c r="AR28" s="211" t="s">
        <v>202</v>
      </c>
      <c r="AS28" s="211" t="s">
        <v>203</v>
      </c>
      <c r="AT28" s="211" t="s">
        <v>204</v>
      </c>
      <c r="AU28" s="242">
        <v>44562</v>
      </c>
      <c r="AV28" s="242">
        <v>44896</v>
      </c>
      <c r="AW28" s="211" t="s">
        <v>205</v>
      </c>
      <c r="AX28" s="182" t="s">
        <v>126</v>
      </c>
      <c r="AY28" s="130"/>
      <c r="AZ28" s="130"/>
      <c r="BA28" s="130"/>
      <c r="BB28" s="130"/>
      <c r="BC28" s="130"/>
      <c r="BD28" s="130"/>
      <c r="BE28" s="130"/>
      <c r="BF28" s="130"/>
      <c r="BG28" s="130"/>
      <c r="BH28" s="130"/>
      <c r="BI28" s="130"/>
      <c r="BJ28" s="130"/>
      <c r="BK28" s="130"/>
      <c r="BL28" s="130"/>
      <c r="BM28" s="130"/>
      <c r="BN28" s="130"/>
      <c r="BO28" s="130"/>
      <c r="BP28" s="130"/>
      <c r="BQ28" s="130"/>
      <c r="BR28" s="130"/>
      <c r="BS28" s="130"/>
      <c r="BT28" s="130"/>
      <c r="BU28" s="130"/>
      <c r="BV28" s="130"/>
      <c r="BW28" s="130"/>
      <c r="BX28" s="130"/>
      <c r="BY28" s="130"/>
      <c r="BZ28" s="130"/>
      <c r="CA28" s="130"/>
      <c r="CB28" s="130"/>
      <c r="CC28" s="130"/>
      <c r="CD28" s="130"/>
    </row>
    <row r="29" spans="3:82" s="131" customFormat="1" ht="150.75" thickBot="1" x14ac:dyDescent="0.3">
      <c r="C29" s="277">
        <v>23</v>
      </c>
      <c r="D29" s="172" t="s">
        <v>231</v>
      </c>
      <c r="E29" s="154" t="s">
        <v>176</v>
      </c>
      <c r="F29" s="212" t="s">
        <v>102</v>
      </c>
      <c r="G29" s="212" t="s">
        <v>232</v>
      </c>
      <c r="H29" s="212" t="s">
        <v>233</v>
      </c>
      <c r="I29" s="286" t="s">
        <v>566</v>
      </c>
      <c r="J29" s="287" t="s">
        <v>585</v>
      </c>
      <c r="K29" s="154" t="s">
        <v>105</v>
      </c>
      <c r="L29" s="154" t="s">
        <v>106</v>
      </c>
      <c r="M29" s="212" t="s">
        <v>234</v>
      </c>
      <c r="N29" s="159" t="s">
        <v>216</v>
      </c>
      <c r="O29" s="220" t="str">
        <f t="shared" si="31"/>
        <v>Muy Baja</v>
      </c>
      <c r="P29" s="216">
        <f>IF(O29="","",IF(O29="Muy Baja",0.2,IF(O29="Baja",0.4,IF(O29="Media",0.6,IF(O29="Alta",0.8,IF(O29="Muy Alta",1,))))))</f>
        <v>0.2</v>
      </c>
      <c r="Q29" s="165" t="s">
        <v>109</v>
      </c>
      <c r="R29" s="293" t="str">
        <f ca="1">IF(NOT(ISERROR(MATCH(Q29,_xlfn.ANCHORARRAY(#REF!),0))),P30&amp;"Por favor no seleccionar los criterios de impacto",Q29)</f>
        <v xml:space="preserve">     El riesgo afecta la imagen de la entidad con algunos usuarios de relevancia frente al logro de los objetivos</v>
      </c>
      <c r="S29" s="220" t="str">
        <f ca="1">IF(OR(R29='Tabla Impacto'!$C$11,R29='Tabla Impacto'!$D$11),"Leve",IF(OR(R29='Tabla Impacto'!$C$12,R29='Tabla Impacto'!$D$12),"Menor",IF(OR(R29='Tabla Impacto'!$C$13,R29='Tabla Impacto'!$D$13),"Moderado",IF(OR(R29='Tabla Impacto'!$C$14,R29='Tabla Impacto'!$D$14),"Mayor",IF(OR(R29='Tabla Impacto'!$C$15,R29='Tabla Impacto'!$D$15),"Catastrófico","")))))</f>
        <v>Moderado</v>
      </c>
      <c r="T29" s="216">
        <f t="shared" ca="1" si="23"/>
        <v>0.6</v>
      </c>
      <c r="U29" s="252" t="str">
        <f ca="1">IF(OR(AND(O29="Muy Baja",S29="Leve"),AND(O29="Muy Baja",S29="Menor"),AND(O29="Baja",S29="Leve")),"Bajo",IF(OR(AND(O29="Muy baja",S29="Moderado"),AND(O29="Baja",S29="Menor"),AND(O29="Baja",S29="Moderado"),AND(O29="Media",S29="Leve"),AND(O29="Media",S29="Menor"),AND(O29="Media",S29="Moderado"),AND(O29="Alta",S29="Leve"),AND(O29="Alta",S29="Menor")),"Moderado",IF(OR(AND(O29="Muy Baja",S29="Mayor"),AND(O29="Baja",S29="Mayor"),AND(O29="Media",S29="Mayor"),AND(O29="Alta",S29="Moderado"),AND(O29="Alta",S29="Mayor"),AND(O29="Muy Alta",S29="Leve"),AND(O29="Muy Alta",S29="Menor"),AND(O29="Muy Alta",S29="Moderado"),AND(O29="Muy Alta",S29="Mayor")),"Alto",IF(OR(AND(O29="Muy Baja",S29="Catastrófico"),AND(O29="Baja",S29="Catastrófico"),AND(O29="Media",S29="Catastrófico"),AND(O29="Alta",S29="Catastrófico"),AND(O29="Muy Alta",S29="Catastrófico")),"Extremo",""))))</f>
        <v>Moderado</v>
      </c>
      <c r="V29" s="182">
        <v>4</v>
      </c>
      <c r="W29" s="160" t="s">
        <v>206</v>
      </c>
      <c r="X29" s="182" t="s">
        <v>111</v>
      </c>
      <c r="Y29" s="235" t="s">
        <v>164</v>
      </c>
      <c r="Z29" s="198" t="str">
        <f t="shared" si="32"/>
        <v>50%</v>
      </c>
      <c r="AA29" s="209" t="s">
        <v>113</v>
      </c>
      <c r="AB29" s="209" t="s">
        <v>148</v>
      </c>
      <c r="AC29" s="235" t="s">
        <v>115</v>
      </c>
      <c r="AD29" s="199">
        <f>IFERROR(IF(AND(AE28="Probabilidad",AE29="Probabilidad"),(AK28-(+AK28*Z29)),IF(AND(AE28="Impacto",AE29="Probabilidad"),(Z28-(+Z28*Z29)),IF(AE29="Impacto",AE28,""))),"")</f>
        <v>1.7999999999999999E-2</v>
      </c>
      <c r="AE29" s="199" t="str">
        <f t="shared" si="6"/>
        <v>Probabilidad</v>
      </c>
      <c r="AF29" s="200" t="s">
        <v>199</v>
      </c>
      <c r="AG29" s="166" t="s">
        <v>200</v>
      </c>
      <c r="AH29" s="201" t="s">
        <v>167</v>
      </c>
      <c r="AI29" s="263" t="s">
        <v>134</v>
      </c>
      <c r="AJ29" s="220" t="str">
        <f t="shared" si="24"/>
        <v>Muy Baja</v>
      </c>
      <c r="AK29" s="248">
        <f t="shared" si="21"/>
        <v>1.7999999999999999E-2</v>
      </c>
      <c r="AL29" s="220" t="str">
        <f t="shared" si="7"/>
        <v>Moderado</v>
      </c>
      <c r="AM29" s="247">
        <f>IFERROR(IF(AND(AE28="Impacto",AE29="Impacto"),(AM28-(+AM28*Z29)),IF(AND(AE28="Probabilidad",AE29="Impacto"),(AM27-(+AM27*Z29)),IF(AE29="Probabilidad",AM28,""))),"")</f>
        <v>0.6</v>
      </c>
      <c r="AN29" s="252" t="str">
        <f t="shared" ref="AN29" si="33">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Moderado</v>
      </c>
      <c r="AO29" s="228" t="s">
        <v>120</v>
      </c>
      <c r="AP29" s="213" t="s">
        <v>201</v>
      </c>
      <c r="AQ29" s="213" t="s">
        <v>200</v>
      </c>
      <c r="AR29" s="213" t="s">
        <v>202</v>
      </c>
      <c r="AS29" s="213" t="s">
        <v>203</v>
      </c>
      <c r="AT29" s="213" t="s">
        <v>204</v>
      </c>
      <c r="AU29" s="243">
        <v>44562</v>
      </c>
      <c r="AV29" s="243">
        <v>44896</v>
      </c>
      <c r="AW29" s="213" t="s">
        <v>205</v>
      </c>
      <c r="AX29" s="187" t="s">
        <v>126</v>
      </c>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row>
    <row r="30" spans="3:82" s="131" customFormat="1" ht="90.75" thickBot="1" x14ac:dyDescent="0.3">
      <c r="C30" s="278">
        <v>24</v>
      </c>
      <c r="D30" s="160" t="s">
        <v>235</v>
      </c>
      <c r="E30" s="161" t="s">
        <v>176</v>
      </c>
      <c r="F30" s="211" t="s">
        <v>195</v>
      </c>
      <c r="G30" s="273" t="s">
        <v>236</v>
      </c>
      <c r="H30" s="211" t="s">
        <v>237</v>
      </c>
      <c r="I30" s="280" t="s">
        <v>567</v>
      </c>
      <c r="J30" s="287" t="s">
        <v>583</v>
      </c>
      <c r="K30" s="160" t="s">
        <v>179</v>
      </c>
      <c r="L30" s="161" t="s">
        <v>238</v>
      </c>
      <c r="M30" s="211" t="s">
        <v>239</v>
      </c>
      <c r="N30" s="159" t="s">
        <v>130</v>
      </c>
      <c r="O30" s="220" t="str">
        <f>IF(N30&lt;=0,"",IF(N30&lt;="La actividad que conlleva el riesgo se ejecuta como máximos 2 veces por año","Muy Baja",IF(N30="La actividad que conlleva el riesgo se ejecuta de 3 a 24 veces por año","Baja",IF(N30="La actividad que conlleva el riesgo se ejecuta de 24 a 500 veces por año","Media",IF(N30="La actividad que conlleva el riesgo se ejecuta mínimo 500 veces al año y máximo 5000 veces por año","Alta","Muy Alta")))))</f>
        <v>Media</v>
      </c>
      <c r="P30" s="216">
        <f>IF(O30="","",IF(O30="Muy Baja",0.2,IF(O30="Baja",0.4,IF(O30="Media",0.6,IF(O30="Alta",0.8,IF(O30="Muy Alta",1,))))))</f>
        <v>0.6</v>
      </c>
      <c r="Q30" s="165" t="s">
        <v>217</v>
      </c>
      <c r="R30" s="293" t="str">
        <f>IF(NOT(ISERROR(MATCH(Q30,'Tabla Impacto'!$B$221:$B$223,0))),'Tabla Impacto'!$F$223&amp;"Por favor no seleccionar los criterios de impacto(Afectación Económica o presupuestal y Pérdida Reputacional)",Q30)</f>
        <v xml:space="preserve">     El riesgo afecta la imagen de la entidad internamente, de conocimiento general, nivel interno, de junta dircetiva y accionistas y/o de provedores</v>
      </c>
      <c r="S30" s="224" t="str">
        <f>IF(OR(R30='Tabla Impacto'!$C$11,R30='Tabla Impacto'!$D$11),"Leve",IF(OR(R30='Tabla Impacto'!$C$12,R30='Tabla Impacto'!$D$12),"Menor",IF(OR(R30='Tabla Impacto'!$C$13,R30='Tabla Impacto'!$D$13),"Moderado",IF(OR(R30='Tabla Impacto'!$C$14,R30='Tabla Impacto'!$D$14),"Mayor",IF(OR(R30='Tabla Impacto'!$C$15,R30='Tabla Impacto'!$D$15),"Catastrófico","")))))</f>
        <v>Menor</v>
      </c>
      <c r="T30" s="216">
        <f t="shared" si="23"/>
        <v>0.4</v>
      </c>
      <c r="U30" s="254" t="str">
        <f>IF(OR(AND(O30="Muy Baja",S30="Leve"),AND(O30="Muy Baja",S30="Menor"),AND(O30="Baja",S30="Leve")),"Bajo",IF(OR(AND(O30="Muy baja",S30="Moderado"),AND(O30="Baja",S30="Menor"),AND(O30="Baja",S30="Moderado"),AND(O30="Media",S30="Leve"),AND(O30="Media",S30="Menor"),AND(O30="Media",S30="Moderado"),AND(O30="Alta",S30="Leve"),AND(O30="Alta",S30="Menor")),"Moderado",IF(OR(AND(O30="Muy Baja",S30="Mayor"),AND(O30="Baja",S30="Mayor"),AND(O30="Media",S30="Mayor"),AND(O30="Alta",S30="Moderado"),AND(O30="Alta",S30="Mayor"),AND(O30="Muy Alta",S30="Leve"),AND(O30="Muy Alta",S30="Menor"),AND(O30="Muy Alta",S30="Moderado"),AND(O30="Muy Alta",S30="Mayor")),"Alto",IF(OR(AND(O30="Muy Baja",S30="Catastrófico"),AND(O30="Baja",S30="Catastrófico"),AND(O30="Media",S30="Catastrófico"),AND(O30="Alta",S30="Catastrófico"),AND(O30="Muy Alta",S30="Catastrófico")),"Extremo",""))))</f>
        <v>Moderado</v>
      </c>
      <c r="V30" s="182">
        <v>1</v>
      </c>
      <c r="W30" s="180" t="s">
        <v>240</v>
      </c>
      <c r="X30" s="182" t="s">
        <v>111</v>
      </c>
      <c r="Y30" s="236" t="s">
        <v>112</v>
      </c>
      <c r="Z30" s="198" t="str">
        <f>IF(AND(X30="Preventivo",Y30="Automático"),"50%",IF(AND(X30="Preventivo",Y30="Manual"),"40%",IF(AND(X30="Detectivo",Y30="Automático"),"40%",IF(AND(X30="Detectivo",Y30="Manual"),"30%",IF(AND(X30="Correctivo",Y30="Automático"),"35%",IF(AND(X30="Correctivo",Y30="Manual"),"25%",""))))))</f>
        <v>40%</v>
      </c>
      <c r="AA30" s="209" t="s">
        <v>113</v>
      </c>
      <c r="AB30" s="209" t="s">
        <v>114</v>
      </c>
      <c r="AC30" s="235" t="s">
        <v>115</v>
      </c>
      <c r="AD30" s="204">
        <f>IFERROR(IF(AE30="Probabilidad",(P30-(+P30*Z30)),IF(AE30="Impacto",P30,"")),"")</f>
        <v>0.36</v>
      </c>
      <c r="AE30" s="199" t="str">
        <f t="shared" ref="AE30:AE32" si="34">IF(OR(X30="Preventivo",X30="Detectivo"),"Probabilidad",IF(X30="Correctivo","Impacto",""))</f>
        <v>Probabilidad</v>
      </c>
      <c r="AF30" s="200" t="s">
        <v>241</v>
      </c>
      <c r="AG30" s="169" t="s">
        <v>200</v>
      </c>
      <c r="AH30" s="200" t="s">
        <v>167</v>
      </c>
      <c r="AI30" s="264" t="s">
        <v>134</v>
      </c>
      <c r="AJ30" s="220" t="str">
        <f t="shared" ref="AJ30:AJ32" si="35">IFERROR(IF(AD30="","",IF(AD30&lt;=0.2,"Muy Baja",IF(AD30&lt;=0.4,"Baja",IF(AD30&lt;=0.6,"Media",IF(AD30&lt;=0.8,"Alta","Muy Alta"))))),"")</f>
        <v>Baja</v>
      </c>
      <c r="AK30" s="247">
        <f t="shared" ref="AK30:AK32" si="36">+AD30</f>
        <v>0.36</v>
      </c>
      <c r="AL30" s="219" t="str">
        <f t="shared" ref="AL30:AL32" si="37">IFERROR(IF(AM30="","",IF(AM30&lt;=0.2,"Leve",IF(AM30&lt;=0.4,"Menor",IF(AM30&lt;=0.6,"Moderado",IF(AM30&lt;=0.8,"Mayor","Catastrófico"))))),"")</f>
        <v>Menor</v>
      </c>
      <c r="AM30" s="247">
        <f>IFERROR(IF(AE30="Impacto",(T30-(+T30*Z30)),IF(AE30="Probabilidad",T30,"")),"")</f>
        <v>0.4</v>
      </c>
      <c r="AN30" s="256" t="str">
        <f>IFERROR(IF(OR(AND(AJ30="Muy Baja",AL30="Leve"),AND(AJ30="Muy Baja",AL30="Menor"),AND(AJ30="Baja",AL30="Leve")),"Bajo",IF(OR(AND(AJ30="Muy baja",AL30="Moderado"),AND(AJ30="Baja",AL30="Menor"),AND(AJ30="Baja",AL30="Moderado"),AND(AJ30="Media",AL30="Leve"),AND(AJ30="Media",AL30="Menor"),AND(AJ30="Media",AL30="Moderado"),AND(AJ30="Alta",AL30="Leve"),AND(AJ30="Alta",AL30="Menor")),"Moderado",IF(OR(AND(AJ30="Muy Baja",AL30="Mayor"),AND(AJ30="Baja",AL30="Mayor"),AND(AJ30="Media",AL30="Mayor"),AND(AJ30="Alta",AL30="Moderado"),AND(AJ30="Alta",AL30="Mayor"),AND(AJ30="Muy Alta",AL30="Leve"),AND(AJ30="Muy Alta",AL30="Menor"),AND(AJ30="Muy Alta",AL30="Moderado"),AND(AJ30="Muy Alta",AL30="Mayor")),"Alto",IF(OR(AND(AJ30="Muy Baja",AL30="Catastrófico"),AND(AJ30="Baja",AL30="Catastrófico"),AND(AJ30="Media",AL30="Catastrófico"),AND(AJ30="Alta",AL30="Catastrófico"),AND(AJ30="Muy Alta",AL30="Catastrófico")),"Extremo","")))),"")</f>
        <v>Moderado</v>
      </c>
      <c r="AO30" s="228" t="s">
        <v>120</v>
      </c>
      <c r="AP30" s="211" t="s">
        <v>242</v>
      </c>
      <c r="AQ30" s="211" t="s">
        <v>169</v>
      </c>
      <c r="AR30" s="211" t="s">
        <v>243</v>
      </c>
      <c r="AS30" s="211" t="s">
        <v>244</v>
      </c>
      <c r="AT30" s="211" t="s">
        <v>245</v>
      </c>
      <c r="AU30" s="242">
        <v>44562</v>
      </c>
      <c r="AV30" s="242">
        <v>44896</v>
      </c>
      <c r="AW30" s="211" t="s">
        <v>205</v>
      </c>
      <c r="AX30" s="182" t="s">
        <v>126</v>
      </c>
    </row>
    <row r="31" spans="3:82" s="131" customFormat="1" ht="75.75" thickBot="1" x14ac:dyDescent="0.3">
      <c r="C31" s="277">
        <v>25</v>
      </c>
      <c r="D31" s="172" t="s">
        <v>235</v>
      </c>
      <c r="E31" s="174" t="s">
        <v>176</v>
      </c>
      <c r="F31" s="213" t="s">
        <v>195</v>
      </c>
      <c r="G31" s="275" t="s">
        <v>236</v>
      </c>
      <c r="H31" s="213" t="s">
        <v>237</v>
      </c>
      <c r="I31" s="282" t="s">
        <v>569</v>
      </c>
      <c r="J31" s="287" t="s">
        <v>584</v>
      </c>
      <c r="K31" s="172" t="s">
        <v>179</v>
      </c>
      <c r="L31" s="174" t="s">
        <v>238</v>
      </c>
      <c r="M31" s="213" t="s">
        <v>239</v>
      </c>
      <c r="N31" s="159" t="s">
        <v>130</v>
      </c>
      <c r="O31" s="220" t="str">
        <f t="shared" ref="O31:O32" si="38">IF(N31&lt;=0,"",IF(N31&lt;="La actividad que conlleva el riesgo se ejecuta como máximos 2 veces por año","Muy Baja",IF(N31="La actividad que conlleva el riesgo se ejecuta de 3 a 24 veces por año","Baja",IF(N31="La actividad que conlleva el riesgo se ejecuta de 24 a 500 veces por año","Media",IF(N31="La actividad que conlleva el riesgo se ejecuta mínimo 500 veces al año y máximo 5000 veces por año","Alta","Muy Alta")))))</f>
        <v>Media</v>
      </c>
      <c r="P31" s="215">
        <f t="shared" ref="P31:P32" si="39">IF(O31="","",IF(O31="Muy Baja",0.2,IF(O31="Baja",0.4,IF(O31="Media",0.6,IF(O31="Alta",0.8,IF(O31="Muy Alta",1,))))))</f>
        <v>0.6</v>
      </c>
      <c r="Q31" s="175" t="s">
        <v>217</v>
      </c>
      <c r="R31" s="294" t="str">
        <f ca="1">IF(NOT(ISERROR(MATCH(Q31,_xlfn.ANCHORARRAY(#REF!),0))),#REF!&amp;"Por favor no seleccionar los criterios de impacto",Q31)</f>
        <v xml:space="preserve">     El riesgo afecta la imagen de la entidad internamente, de conocimiento general, nivel interno, de junta dircetiva y accionistas y/o de provedores</v>
      </c>
      <c r="S31" s="229" t="str">
        <f ca="1">IF(OR(R31='Tabla Impacto'!$C$11,R31='Tabla Impacto'!$D$11),"Leve",IF(OR(R31='Tabla Impacto'!$C$12,R31='Tabla Impacto'!$D$12),"Menor",IF(OR(R31='Tabla Impacto'!$C$13,R31='Tabla Impacto'!$D$13),"Moderado",IF(OR(R31='Tabla Impacto'!$C$14,R31='Tabla Impacto'!$D$14),"Mayor",IF(OR(R31='Tabla Impacto'!$C$15,R31='Tabla Impacto'!$D$15),"Catastrófico","")))))</f>
        <v>Menor</v>
      </c>
      <c r="T31" s="215">
        <f t="shared" ref="T31:T32" ca="1" si="40">IF(S31="","",IF(S31="Leve",0.2,IF(S31="Menor",0.4,IF(S31="Moderado",0.6,IF(S31="Mayor",0.8,IF(S31="Catastrófico",1,))))))</f>
        <v>0.4</v>
      </c>
      <c r="U31" s="253" t="str">
        <f t="shared" ref="U31:U32" ca="1" si="41">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Moderado</v>
      </c>
      <c r="V31" s="187">
        <v>2</v>
      </c>
      <c r="W31" s="174" t="s">
        <v>198</v>
      </c>
      <c r="X31" s="187" t="s">
        <v>111</v>
      </c>
      <c r="Y31" s="237" t="s">
        <v>164</v>
      </c>
      <c r="Z31" s="203" t="str">
        <f t="shared" ref="Z31:Z32" si="42">IF(AND(X31="Preventivo",Y31="Automático"),"50%",IF(AND(X31="Preventivo",Y31="Manual"),"40%",IF(AND(X31="Detectivo",Y31="Automático"),"40%",IF(AND(X31="Detectivo",Y31="Manual"),"30%",IF(AND(X31="Correctivo",Y31="Automático"),"35%",IF(AND(X31="Correctivo",Y31="Manual"),"25%",""))))))</f>
        <v>50%</v>
      </c>
      <c r="AA31" s="209" t="s">
        <v>113</v>
      </c>
      <c r="AB31" s="209" t="s">
        <v>114</v>
      </c>
      <c r="AC31" s="237" t="s">
        <v>115</v>
      </c>
      <c r="AD31" s="199">
        <f>IFERROR(IF(AND(AE30="Probabilidad",AE31="Probabilidad"),(AK30-(+AK30*Z31)),IF(AE31="Probabilidad",(P30-(+P30*Z31)),IF(AE31="Impacto",AK30,""))),"")</f>
        <v>0.18</v>
      </c>
      <c r="AE31" s="199" t="str">
        <f t="shared" si="34"/>
        <v>Probabilidad</v>
      </c>
      <c r="AF31" s="200" t="s">
        <v>199</v>
      </c>
      <c r="AG31" s="166" t="s">
        <v>200</v>
      </c>
      <c r="AH31" s="201" t="s">
        <v>167</v>
      </c>
      <c r="AI31" s="263" t="s">
        <v>134</v>
      </c>
      <c r="AJ31" s="220" t="str">
        <f t="shared" si="35"/>
        <v>Muy Baja</v>
      </c>
      <c r="AK31" s="248">
        <f t="shared" si="36"/>
        <v>0.18</v>
      </c>
      <c r="AL31" s="220" t="str">
        <f t="shared" si="37"/>
        <v>Menor</v>
      </c>
      <c r="AM31" s="247">
        <f>IFERROR(IF(AND(AE30="Impacto",AE31="Impacto"),(AM30-(+AM30*Z31)),IF(AE31="Impacto",($T$8-(+$T$8*AE31)),IF(AE31="Probabilidad",AM30,""))),"")</f>
        <v>0.4</v>
      </c>
      <c r="AN31" s="257"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Bajo</v>
      </c>
      <c r="AO31" s="228" t="s">
        <v>120</v>
      </c>
      <c r="AP31" s="213" t="s">
        <v>201</v>
      </c>
      <c r="AQ31" s="213" t="s">
        <v>200</v>
      </c>
      <c r="AR31" s="213" t="s">
        <v>202</v>
      </c>
      <c r="AS31" s="213" t="s">
        <v>203</v>
      </c>
      <c r="AT31" s="213" t="s">
        <v>204</v>
      </c>
      <c r="AU31" s="243">
        <v>44562</v>
      </c>
      <c r="AV31" s="243">
        <v>44896</v>
      </c>
      <c r="AW31" s="213" t="s">
        <v>205</v>
      </c>
      <c r="AX31" s="187" t="s">
        <v>126</v>
      </c>
    </row>
    <row r="32" spans="3:82" s="131" customFormat="1" ht="90.75" thickBot="1" x14ac:dyDescent="0.3">
      <c r="C32" s="278">
        <v>26</v>
      </c>
      <c r="D32" s="160" t="s">
        <v>235</v>
      </c>
      <c r="E32" s="161" t="s">
        <v>176</v>
      </c>
      <c r="F32" s="211" t="s">
        <v>195</v>
      </c>
      <c r="G32" s="273" t="s">
        <v>236</v>
      </c>
      <c r="H32" s="211" t="s">
        <v>237</v>
      </c>
      <c r="I32" s="280" t="s">
        <v>568</v>
      </c>
      <c r="J32" s="287" t="s">
        <v>584</v>
      </c>
      <c r="K32" s="160" t="s">
        <v>179</v>
      </c>
      <c r="L32" s="160" t="s">
        <v>238</v>
      </c>
      <c r="M32" s="211" t="s">
        <v>239</v>
      </c>
      <c r="N32" s="159" t="s">
        <v>130</v>
      </c>
      <c r="O32" s="220" t="str">
        <f t="shared" si="38"/>
        <v>Media</v>
      </c>
      <c r="P32" s="216">
        <f t="shared" si="39"/>
        <v>0.6</v>
      </c>
      <c r="Q32" s="165" t="s">
        <v>217</v>
      </c>
      <c r="R32" s="293" t="str">
        <f ca="1">IF(NOT(ISERROR(MATCH(Q32,_xlfn.ANCHORARRAY(#REF!),0))),#REF!&amp;"Por favor no seleccionar los criterios de impacto",Q32)</f>
        <v xml:space="preserve">     El riesgo afecta la imagen de la entidad internamente, de conocimiento general, nivel interno, de junta dircetiva y accionistas y/o de provedores</v>
      </c>
      <c r="S32" s="220" t="str">
        <f ca="1">IF(OR(R32='Tabla Impacto'!$C$11,R32='Tabla Impacto'!$D$11),"Leve",IF(OR(R32='Tabla Impacto'!$C$12,R32='Tabla Impacto'!$D$12),"Menor",IF(OR(R32='Tabla Impacto'!$C$13,R32='Tabla Impacto'!$D$13),"Moderado",IF(OR(R32='Tabla Impacto'!$C$14,R32='Tabla Impacto'!$D$14),"Mayor",IF(OR(R32='Tabla Impacto'!$C$15,R32='Tabla Impacto'!$D$15),"Catastrófico","")))))</f>
        <v>Menor</v>
      </c>
      <c r="T32" s="216">
        <f t="shared" ca="1" si="40"/>
        <v>0.4</v>
      </c>
      <c r="U32" s="252" t="str">
        <f t="shared" ca="1" si="41"/>
        <v>Moderado</v>
      </c>
      <c r="V32" s="182">
        <v>3</v>
      </c>
      <c r="W32" s="160" t="s">
        <v>206</v>
      </c>
      <c r="X32" s="182" t="s">
        <v>111</v>
      </c>
      <c r="Y32" s="235" t="s">
        <v>164</v>
      </c>
      <c r="Z32" s="198" t="str">
        <f t="shared" si="42"/>
        <v>50%</v>
      </c>
      <c r="AA32" s="209" t="s">
        <v>113</v>
      </c>
      <c r="AB32" s="209" t="s">
        <v>114</v>
      </c>
      <c r="AC32" s="235" t="s">
        <v>115</v>
      </c>
      <c r="AD32" s="199">
        <f>IFERROR(IF(AND(AE31="Probabilidad",AE32="Probabilidad"),(AK31-(+AK31*Z32)),IF(AND(AE31="Impacto",AE32="Probabilidad"),(Z31-(+Z31*Z32)),IF(AE32="Impacto",AE31,""))),"")</f>
        <v>0.09</v>
      </c>
      <c r="AE32" s="199" t="str">
        <f t="shared" si="34"/>
        <v>Probabilidad</v>
      </c>
      <c r="AF32" s="200" t="s">
        <v>199</v>
      </c>
      <c r="AG32" s="166" t="s">
        <v>200</v>
      </c>
      <c r="AH32" s="200" t="s">
        <v>167</v>
      </c>
      <c r="AI32" s="263" t="s">
        <v>134</v>
      </c>
      <c r="AJ32" s="220" t="str">
        <f t="shared" si="35"/>
        <v>Muy Baja</v>
      </c>
      <c r="AK32" s="247">
        <f t="shared" si="36"/>
        <v>0.09</v>
      </c>
      <c r="AL32" s="220" t="str">
        <f t="shared" si="37"/>
        <v>Menor</v>
      </c>
      <c r="AM32" s="247">
        <f>IFERROR(IF(AND(AE31="Impacto",AE32="Impacto"),(AM31-(+AM31*Z32)),IF(AND(AE31="Probabilidad",AE32="Impacto"),(AM30-(+AM30*Z32)),IF(AE32="Probabilidad",AM31,""))),"")</f>
        <v>0.4</v>
      </c>
      <c r="AN32" s="252" t="str">
        <f>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Bajo</v>
      </c>
      <c r="AO32" s="228" t="s">
        <v>527</v>
      </c>
      <c r="AP32" s="211" t="s">
        <v>201</v>
      </c>
      <c r="AQ32" s="211" t="s">
        <v>200</v>
      </c>
      <c r="AR32" s="211" t="s">
        <v>202</v>
      </c>
      <c r="AS32" s="211" t="s">
        <v>203</v>
      </c>
      <c r="AT32" s="211" t="s">
        <v>204</v>
      </c>
      <c r="AU32" s="242">
        <v>44562</v>
      </c>
      <c r="AV32" s="242">
        <v>44896</v>
      </c>
      <c r="AW32" s="211" t="s">
        <v>205</v>
      </c>
      <c r="AX32" s="182" t="s">
        <v>126</v>
      </c>
      <c r="AY32" s="170"/>
    </row>
    <row r="33" spans="3:51" s="131" customFormat="1" ht="105.75" thickBot="1" x14ac:dyDescent="0.3">
      <c r="C33" s="278">
        <v>27</v>
      </c>
      <c r="D33" s="160" t="s">
        <v>246</v>
      </c>
      <c r="E33" s="161" t="s">
        <v>176</v>
      </c>
      <c r="F33" s="211" t="s">
        <v>102</v>
      </c>
      <c r="G33" s="273" t="s">
        <v>247</v>
      </c>
      <c r="H33" s="211" t="s">
        <v>237</v>
      </c>
      <c r="I33" s="280" t="s">
        <v>570</v>
      </c>
      <c r="J33" s="287" t="s">
        <v>584</v>
      </c>
      <c r="K33" s="160" t="s">
        <v>179</v>
      </c>
      <c r="L33" s="161" t="s">
        <v>238</v>
      </c>
      <c r="M33" s="211" t="s">
        <v>239</v>
      </c>
      <c r="N33" s="159" t="s">
        <v>130</v>
      </c>
      <c r="O33" s="219" t="str">
        <f>IF(N33&lt;=0,"",IF(N33&lt;="La actividad que conlleva el riesgo se ejecuta como máximos 2 veces por año","Muy Baja",IF(N33="La actividad que conlleva el riesgo se ejecuta de 3 a 24 veces por año","Baja",IF(N33="La actividad que conlleva el riesgo se ejecuta de 24 a 500 veces por año","Media",IF(N33="La actividad que conlleva el riesgo se ejecuta mínimo 500 veces al año y máximo 5000 veces por año","Alta","Muy Alta")))))</f>
        <v>Media</v>
      </c>
      <c r="P33" s="215">
        <f>IF(O33="","",IF(O33="Muy Baja",0.2,IF(O33="Baja",0.4,IF(O33="Media",0.6,IF(O33="Alta",0.8,IF(O33="Muy Alta",1,))))))</f>
        <v>0.6</v>
      </c>
      <c r="Q33" s="175" t="s">
        <v>248</v>
      </c>
      <c r="R33" s="152" t="str">
        <f>IF(NOT(ISERROR(MATCH(Q33,'Tabla Impacto'!$B$221:$B$223,0))),'Tabla Impacto'!$F$223&amp;"Por favor no seleccionar los criterios de impacto(Afectación Económica o presupuestal y Pérdida Reputacional)",Q33)</f>
        <v xml:space="preserve">     El riesgo afecta la imagen de alguna área de la organización</v>
      </c>
      <c r="S33" s="229" t="str">
        <f>IF(OR(R33='Tabla Impacto'!$C$11,R33='Tabla Impacto'!$D$11),"Leve",IF(OR(R33='Tabla Impacto'!$C$12,R33='Tabla Impacto'!$D$12),"Menor",IF(OR(R33='Tabla Impacto'!$C$13,R33='Tabla Impacto'!$D$13),"Moderado",IF(OR(R33='Tabla Impacto'!$C$14,R33='Tabla Impacto'!$D$14),"Mayor",IF(OR(R33='Tabla Impacto'!$C$15,R33='Tabla Impacto'!$D$15),"Catastrófico","")))))</f>
        <v>Leve</v>
      </c>
      <c r="T33" s="215">
        <f>IF(S33="","",IF(S33="Leve",0.2,IF(S33="Menor",0.4,IF(S33="Moderado",0.6,IF(S33="Mayor",0.8,IF(S33="Catastrófico",1,))))))</f>
        <v>0.2</v>
      </c>
      <c r="U33" s="252" t="str">
        <f>IF(OR(AND(O33="Muy Baja",S33="Leve"),AND(O33="Muy Baja",S33="Menor"),AND(O33="Baja",S33="Leve")),"Bajo",IF(OR(AND(O33="Muy baja",S33="Moderado"),AND(O33="Baja",S33="Menor"),AND(O33="Baja",S33="Moderado"),AND(O33="Media",S33="Leve"),AND(O33="Media",S33="Menor"),AND(O33="Media",S33="Moderado"),AND(O33="Alta",S33="Leve"),AND(O33="Alta",S33="Menor")),"Moderado",IF(OR(AND(O33="Muy Baja",S33="Mayor"),AND(O33="Baja",S33="Mayor"),AND(O33="Media",S33="Mayor"),AND(O33="Alta",S33="Moderado"),AND(O33="Alta",S33="Mayor"),AND(O33="Muy Alta",S33="Leve"),AND(O33="Muy Alta",S33="Menor"),AND(O33="Muy Alta",S33="Moderado"),AND(O33="Muy Alta",S33="Mayor")),"Alto",IF(OR(AND(O33="Muy Baja",S33="Catastrófico"),AND(O33="Baja",S33="Catastrófico"),AND(O33="Media",S33="Catastrófico"),AND(O33="Alta",S33="Catastrófico"),AND(O33="Muy Alta",S33="Catastrófico")),"Extremo",""))))</f>
        <v>Moderado</v>
      </c>
      <c r="V33" s="182">
        <v>1</v>
      </c>
      <c r="W33" s="160" t="s">
        <v>240</v>
      </c>
      <c r="X33" s="182" t="s">
        <v>111</v>
      </c>
      <c r="Y33" s="235" t="s">
        <v>112</v>
      </c>
      <c r="Z33" s="198" t="str">
        <f>IF(AND(X33="Preventivo",Y33="Automático"),"50%",IF(AND(X33="Preventivo",Y33="Manual"),"40%",IF(AND(X33="Detectivo",Y33="Automático"),"40%",IF(AND(X33="Detectivo",Y33="Manual"),"30%",IF(AND(X33="Correctivo",Y33="Automático"),"35%",IF(AND(X33="Correctivo",Y33="Manual"),"25%",""))))))</f>
        <v>40%</v>
      </c>
      <c r="AA33" s="209" t="s">
        <v>113</v>
      </c>
      <c r="AB33" s="209" t="s">
        <v>114</v>
      </c>
      <c r="AC33" s="237" t="s">
        <v>115</v>
      </c>
      <c r="AD33" s="199">
        <v>0.36</v>
      </c>
      <c r="AE33" s="204" t="s">
        <v>249</v>
      </c>
      <c r="AF33" s="200" t="s">
        <v>241</v>
      </c>
      <c r="AG33" s="171" t="s">
        <v>200</v>
      </c>
      <c r="AH33" s="200" t="s">
        <v>167</v>
      </c>
      <c r="AI33" s="263" t="s">
        <v>134</v>
      </c>
      <c r="AJ33" s="220" t="s">
        <v>250</v>
      </c>
      <c r="AK33" s="247">
        <v>0.36</v>
      </c>
      <c r="AL33" s="221" t="s">
        <v>251</v>
      </c>
      <c r="AM33" s="247">
        <v>0.4</v>
      </c>
      <c r="AN33" s="254" t="s">
        <v>252</v>
      </c>
      <c r="AO33" s="228" t="s">
        <v>120</v>
      </c>
      <c r="AP33" s="211" t="s">
        <v>242</v>
      </c>
      <c r="AQ33" s="211" t="s">
        <v>169</v>
      </c>
      <c r="AR33" s="211" t="s">
        <v>243</v>
      </c>
      <c r="AS33" s="211" t="s">
        <v>244</v>
      </c>
      <c r="AT33" s="211" t="s">
        <v>245</v>
      </c>
      <c r="AU33" s="242">
        <v>44562</v>
      </c>
      <c r="AV33" s="242">
        <v>44896</v>
      </c>
      <c r="AW33" s="211" t="s">
        <v>205</v>
      </c>
      <c r="AX33" s="182" t="s">
        <v>126</v>
      </c>
    </row>
    <row r="34" spans="3:51" s="131" customFormat="1" ht="120.75" thickBot="1" x14ac:dyDescent="0.3">
      <c r="C34" s="277">
        <v>28</v>
      </c>
      <c r="D34" s="172" t="s">
        <v>253</v>
      </c>
      <c r="E34" s="174" t="s">
        <v>176</v>
      </c>
      <c r="F34" s="213" t="s">
        <v>195</v>
      </c>
      <c r="G34" s="275" t="s">
        <v>544</v>
      </c>
      <c r="H34" s="213" t="s">
        <v>545</v>
      </c>
      <c r="I34" s="280" t="s">
        <v>571</v>
      </c>
      <c r="J34" s="287" t="s">
        <v>585</v>
      </c>
      <c r="K34" s="172" t="s">
        <v>105</v>
      </c>
      <c r="L34" s="174" t="s">
        <v>254</v>
      </c>
      <c r="M34" s="213" t="s">
        <v>255</v>
      </c>
      <c r="N34" s="173" t="s">
        <v>130</v>
      </c>
      <c r="O34" s="225" t="str">
        <f>IF(N34&lt;=0,"",IF(N34&lt;="La actividad que conlleva el riesgo se ejecuta como máximos 2 veces por año","Muy Baja",IF(N34="La actividad que conlleva el riesgo se ejecuta de 3 a 24 veces por año","Baja",IF(N34="La actividad que conlleva el riesgo se ejecuta de 24 a 500 veces por año","Media",IF(N34="La actividad que conlleva el riesgo se ejecuta mínimo 500 veces al año y máximo 5000 veces por año","Alta","Muy Alta")))))</f>
        <v>Media</v>
      </c>
      <c r="P34" s="217">
        <f>IF(O34="","",IF(O34="Muy Baja",0.2,IF(O34="Baja",0.4,IF(O34="Media",0.6,IF(O34="Alta",0.8,IF(O34="Muy Alta",1,))))))</f>
        <v>0.6</v>
      </c>
      <c r="Q34" s="163" t="s">
        <v>109</v>
      </c>
      <c r="R34" s="301" t="str">
        <f>IF(NOT(ISERROR(MATCH(Q34,'Tabla Impacto'!$B$221:$B$223,0))),'Tabla Impacto'!$F$223&amp;"Por favor no seleccionar los criterios de impacto(Afectación Económica o presupuestal y Pérdida Reputacional)",Q34)</f>
        <v xml:space="preserve">     El riesgo afecta la imagen de la entidad con algunos usuarios de relevancia frente al logro de los objetivos</v>
      </c>
      <c r="S34" s="233" t="str">
        <f>IF(OR(R34='Tabla Impacto'!$C$11,R34='Tabla Impacto'!$D$11),"Leve",IF(OR(R34='Tabla Impacto'!$C$12,R34='Tabla Impacto'!$D$12),"Menor",IF(OR(R34='Tabla Impacto'!$C$13,R34='Tabla Impacto'!$D$13),"Moderado",IF(OR(R34='Tabla Impacto'!$C$14,R34='Tabla Impacto'!$D$14),"Mayor",IF(OR(R34='Tabla Impacto'!$C$15,R34='Tabla Impacto'!$D$15),"Catastrófico","")))))</f>
        <v>Moderado</v>
      </c>
      <c r="T34" s="217">
        <f>IF(S34="","",IF(S34="Leve",0.2,IF(S34="Menor",0.4,IF(S34="Moderado",0.6,IF(S34="Mayor",0.8,IF(S34="Catastrófico",1,))))))</f>
        <v>0.6</v>
      </c>
      <c r="U34" s="271" t="str">
        <f>IF(OR(AND(O34="Muy Baja",S34="Leve"),AND(O34="Muy Baja",S34="Menor"),AND(O34="Baja",S34="Leve")),"Bajo",IF(OR(AND(O34="Muy baja",S34="Moderado"),AND(O34="Baja",S34="Menor"),AND(O34="Baja",S34="Moderado"),AND(O34="Media",S34="Leve"),AND(O34="Media",S34="Menor"),AND(O34="Media",S34="Moderado"),AND(O34="Alta",S34="Leve"),AND(O34="Alta",S34="Menor")),"Moderado",IF(OR(AND(O34="Muy Baja",S34="Mayor"),AND(O34="Baja",S34="Mayor"),AND(O34="Media",S34="Mayor"),AND(O34="Alta",S34="Moderado"),AND(O34="Alta",S34="Mayor"),AND(O34="Muy Alta",S34="Leve"),AND(O34="Muy Alta",S34="Menor"),AND(O34="Muy Alta",S34="Moderado"),AND(O34="Muy Alta",S34="Mayor")),"Alto",IF(OR(AND(O34="Muy Baja",S34="Catastrófico"),AND(O34="Baja",S34="Catastrófico"),AND(O34="Media",S34="Catastrófico"),AND(O34="Alta",S34="Catastrófico"),AND(O34="Muy Alta",S34="Catastrófico")),"Extremo",""))))</f>
        <v>Moderado</v>
      </c>
      <c r="V34" s="187">
        <v>1</v>
      </c>
      <c r="W34" s="174" t="s">
        <v>198</v>
      </c>
      <c r="X34" s="187" t="s">
        <v>111</v>
      </c>
      <c r="Y34" s="235" t="s">
        <v>164</v>
      </c>
      <c r="Z34" s="198" t="str">
        <f>IF(AND(X34="Preventivo",Y34="Automático"),"50%",IF(AND(X34="Preventivo",Y34="Manual"),"40%",IF(AND(X34="Detectivo",Y34="Automático"),"40%",IF(AND(X34="Detectivo",Y34="Manual"),"30%",IF(AND(X34="Correctivo",Y34="Automático"),"35%",IF(AND(X34="Correctivo",Y34="Manual"),"25%",""))))))</f>
        <v>50%</v>
      </c>
      <c r="AA34" s="209" t="s">
        <v>113</v>
      </c>
      <c r="AB34" s="209" t="s">
        <v>148</v>
      </c>
      <c r="AC34" s="235" t="s">
        <v>115</v>
      </c>
      <c r="AD34" s="199">
        <f>IFERROR(IF(AE34="Probabilidad",(P34-(+P34*Z34)),IF(AE34="Impacto",P34,"")),"")</f>
        <v>0.3</v>
      </c>
      <c r="AE34" s="199" t="str">
        <f t="shared" ref="AE34:AE35" si="43">IF(OR(X34="Preventivo",X34="Detectivo"),"Probabilidad",IF(X34="Correctivo","Impacto",""))</f>
        <v>Probabilidad</v>
      </c>
      <c r="AF34" s="200" t="s">
        <v>199</v>
      </c>
      <c r="AG34" s="169" t="s">
        <v>200</v>
      </c>
      <c r="AH34" s="200" t="s">
        <v>167</v>
      </c>
      <c r="AI34" s="264" t="s">
        <v>134</v>
      </c>
      <c r="AJ34" s="220" t="str">
        <f t="shared" ref="AJ34:AJ35" si="44">IFERROR(IF(AD34="","",IF(AD34&lt;=0.2,"Muy Baja",IF(AD34&lt;=0.4,"Baja",IF(AD34&lt;=0.6,"Media",IF(AD34&lt;=0.8,"Alta","Muy Alta"))))),"")</f>
        <v>Baja</v>
      </c>
      <c r="AK34" s="249">
        <f t="shared" ref="AK34:AK35" si="45">+AD34</f>
        <v>0.3</v>
      </c>
      <c r="AL34" s="219" t="str">
        <f t="shared" ref="AL34:AL35" si="46">IFERROR(IF(AM34="","",IF(AM34&lt;=0.2,"Leve",IF(AM34&lt;=0.4,"Menor",IF(AM34&lt;=0.6,"Moderado",IF(AM34&lt;=0.8,"Mayor","Catastrófico"))))),"")</f>
        <v>Moderado</v>
      </c>
      <c r="AM34" s="249">
        <f>IFERROR(IF(AE34="Impacto",(T34-(+T34*Z34)),IF(AE34="Probabilidad",T34,"")),"")</f>
        <v>0.6</v>
      </c>
      <c r="AN34" s="253"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Moderado</v>
      </c>
      <c r="AO34" s="228" t="s">
        <v>120</v>
      </c>
      <c r="AP34" s="213" t="s">
        <v>201</v>
      </c>
      <c r="AQ34" s="213" t="s">
        <v>200</v>
      </c>
      <c r="AR34" s="213" t="s">
        <v>202</v>
      </c>
      <c r="AS34" s="213" t="s">
        <v>203</v>
      </c>
      <c r="AT34" s="213" t="s">
        <v>204</v>
      </c>
      <c r="AU34" s="243">
        <v>44562</v>
      </c>
      <c r="AV34" s="243">
        <v>44896</v>
      </c>
      <c r="AW34" s="213" t="s">
        <v>205</v>
      </c>
      <c r="AX34" s="187" t="s">
        <v>126</v>
      </c>
    </row>
    <row r="35" spans="3:51" s="131" customFormat="1" ht="135.75" thickBot="1" x14ac:dyDescent="0.3">
      <c r="C35" s="278">
        <v>29</v>
      </c>
      <c r="D35" s="160" t="s">
        <v>253</v>
      </c>
      <c r="E35" s="161" t="s">
        <v>176</v>
      </c>
      <c r="F35" s="211" t="s">
        <v>195</v>
      </c>
      <c r="G35" s="273" t="s">
        <v>544</v>
      </c>
      <c r="H35" s="211" t="s">
        <v>545</v>
      </c>
      <c r="I35" s="280" t="s">
        <v>571</v>
      </c>
      <c r="J35" s="287" t="s">
        <v>585</v>
      </c>
      <c r="K35" s="160" t="s">
        <v>105</v>
      </c>
      <c r="L35" s="161" t="s">
        <v>254</v>
      </c>
      <c r="M35" s="211" t="s">
        <v>255</v>
      </c>
      <c r="N35" s="159" t="s">
        <v>130</v>
      </c>
      <c r="O35" s="220" t="str">
        <f>IF(N35&lt;=0,"",IF(N35&lt;="La actividad que conlleva el riesgo se ejecuta como máximos 2 veces por año","Muy Baja",IF(N35="La actividad que conlleva el riesgo se ejecuta de 3 a 24 veces por año","Baja",IF(N35="La actividad que conlleva el riesgo se ejecuta de 24 a 500 veces por año","Media",IF(N35="La actividad que conlleva el riesgo se ejecuta mínimo 500 veces al año y máximo 5000 veces por año","Alta","Muy Alta")))))</f>
        <v>Media</v>
      </c>
      <c r="P35" s="216">
        <f>IF(O35="","",IF(O35="Muy Baja",0.2,IF(O35="Baja",0.4,IF(O35="Media",0.6,IF(O35="Alta",0.8,IF(O35="Muy Alta",1,))))))</f>
        <v>0.6</v>
      </c>
      <c r="Q35" s="165" t="s">
        <v>109</v>
      </c>
      <c r="R35" s="297" t="str">
        <f ca="1">IF(NOT(ISERROR(MATCH(Q35,_xlfn.ANCHORARRAY(I38),0))),#REF!&amp;"Por favor no seleccionar los criterios de impacto",Q35)</f>
        <v xml:space="preserve">     El riesgo afecta la imagen de la entidad con algunos usuarios de relevancia frente al logro de los objetivos</v>
      </c>
      <c r="S35" s="220" t="str">
        <f ca="1">IF(OR(R35='Tabla Impacto'!$C$11,R35='Tabla Impacto'!$D$11),"Leve",IF(OR(R35='Tabla Impacto'!$C$12,R35='Tabla Impacto'!$D$12),"Menor",IF(OR(R35='Tabla Impacto'!$C$13,R35='Tabla Impacto'!$D$13),"Moderado",IF(OR(R35='Tabla Impacto'!$C$14,R35='Tabla Impacto'!$D$14),"Mayor",IF(OR(R35='Tabla Impacto'!$C$15,R35='Tabla Impacto'!$D$15),"Catastrófico","")))))</f>
        <v>Moderado</v>
      </c>
      <c r="T35" s="216">
        <f ca="1">IF(S35="","",IF(S35="Leve",0.2,IF(S35="Menor",0.4,IF(S35="Moderado",0.6,IF(S35="Mayor",0.8,IF(S35="Catastrófico",1,))))))</f>
        <v>0.6</v>
      </c>
      <c r="U35" s="252" t="str">
        <f ca="1">IF(OR(AND(O35="Muy Baja",S35="Leve"),AND(O35="Muy Baja",S35="Menor"),AND(O35="Baja",S35="Leve")),"Bajo",IF(OR(AND(O35="Muy baja",S35="Moderado"),AND(O35="Baja",S35="Menor"),AND(O35="Baja",S35="Moderado"),AND(O35="Media",S35="Leve"),AND(O35="Media",S35="Menor"),AND(O35="Media",S35="Moderado"),AND(O35="Alta",S35="Leve"),AND(O35="Alta",S35="Menor")),"Moderado",IF(OR(AND(O35="Muy Baja",S35="Mayor"),AND(O35="Baja",S35="Mayor"),AND(O35="Media",S35="Mayor"),AND(O35="Alta",S35="Moderado"),AND(O35="Alta",S35="Mayor"),AND(O35="Muy Alta",S35="Leve"),AND(O35="Muy Alta",S35="Menor"),AND(O35="Muy Alta",S35="Moderado"),AND(O35="Muy Alta",S35="Mayor")),"Alto",IF(OR(AND(O35="Muy Baja",S35="Catastrófico"),AND(O35="Baja",S35="Catastrófico"),AND(O35="Media",S35="Catastrófico"),AND(O35="Alta",S35="Catastrófico"),AND(O35="Muy Alta",S35="Catastrófico")),"Extremo",""))))</f>
        <v>Moderado</v>
      </c>
      <c r="V35" s="182">
        <v>2</v>
      </c>
      <c r="W35" s="160" t="s">
        <v>206</v>
      </c>
      <c r="X35" s="182" t="s">
        <v>111</v>
      </c>
      <c r="Y35" s="237" t="s">
        <v>164</v>
      </c>
      <c r="Z35" s="203" t="str">
        <f t="shared" ref="Z35" si="47">IF(AND(X35="Preventivo",Y35="Automático"),"50%",IF(AND(X35="Preventivo",Y35="Manual"),"40%",IF(AND(X35="Detectivo",Y35="Automático"),"40%",IF(AND(X35="Detectivo",Y35="Manual"),"30%",IF(AND(X35="Correctivo",Y35="Automático"),"35%",IF(AND(X35="Correctivo",Y35="Manual"),"25%",""))))))</f>
        <v>50%</v>
      </c>
      <c r="AA35" s="209" t="s">
        <v>113</v>
      </c>
      <c r="AB35" s="209" t="s">
        <v>148</v>
      </c>
      <c r="AC35" s="237" t="s">
        <v>115</v>
      </c>
      <c r="AD35" s="199">
        <f>IFERROR(IF(AE35="Probabilidad",(P35-(+P35*Z35)),IF(AE35="Impacto",P35,"")),"")</f>
        <v>0.3</v>
      </c>
      <c r="AE35" s="199" t="str">
        <f t="shared" si="43"/>
        <v>Probabilidad</v>
      </c>
      <c r="AF35" s="200" t="s">
        <v>546</v>
      </c>
      <c r="AG35" s="166" t="s">
        <v>200</v>
      </c>
      <c r="AH35" s="200" t="s">
        <v>167</v>
      </c>
      <c r="AI35" s="263" t="s">
        <v>134</v>
      </c>
      <c r="AJ35" s="220" t="str">
        <f t="shared" si="44"/>
        <v>Baja</v>
      </c>
      <c r="AK35" s="247">
        <f t="shared" si="45"/>
        <v>0.3</v>
      </c>
      <c r="AL35" s="220" t="str">
        <f t="shared" si="46"/>
        <v>Moderado</v>
      </c>
      <c r="AM35" s="247">
        <f>IFERROR(IF(AND(AE34="Impacto",AE35="Impacto"),(AM34-(+AM34*Z35)),IF(AE35="Impacto",($T$8-(+$T$8*AE35)),IF(AE35="Probabilidad",AM34,""))),"")</f>
        <v>0.6</v>
      </c>
      <c r="AN35" s="252" t="str">
        <f>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Moderado</v>
      </c>
      <c r="AO35" s="228" t="s">
        <v>527</v>
      </c>
      <c r="AP35" s="211" t="s">
        <v>201</v>
      </c>
      <c r="AQ35" s="211" t="s">
        <v>200</v>
      </c>
      <c r="AR35" s="211" t="s">
        <v>202</v>
      </c>
      <c r="AS35" s="211" t="s">
        <v>203</v>
      </c>
      <c r="AT35" s="211" t="s">
        <v>204</v>
      </c>
      <c r="AU35" s="242">
        <v>44562</v>
      </c>
      <c r="AV35" s="242">
        <v>44896</v>
      </c>
      <c r="AW35" s="211" t="s">
        <v>205</v>
      </c>
      <c r="AX35" s="182" t="s">
        <v>126</v>
      </c>
    </row>
    <row r="36" spans="3:51" s="131" customFormat="1" ht="165.75" thickBot="1" x14ac:dyDescent="0.3">
      <c r="C36" s="278">
        <v>30</v>
      </c>
      <c r="D36" s="160" t="s">
        <v>256</v>
      </c>
      <c r="E36" s="160" t="s">
        <v>176</v>
      </c>
      <c r="F36" s="211" t="s">
        <v>195</v>
      </c>
      <c r="G36" s="211" t="s">
        <v>544</v>
      </c>
      <c r="H36" s="211" t="s">
        <v>545</v>
      </c>
      <c r="I36" s="284" t="s">
        <v>572</v>
      </c>
      <c r="J36" s="287" t="s">
        <v>585</v>
      </c>
      <c r="K36" s="160" t="s">
        <v>105</v>
      </c>
      <c r="L36" s="160" t="s">
        <v>254</v>
      </c>
      <c r="M36" s="211" t="s">
        <v>255</v>
      </c>
      <c r="N36" s="159" t="s">
        <v>130</v>
      </c>
      <c r="O36" s="220" t="str">
        <f>IF(N36&lt;=0,"",IF(N36&lt;="La actividad que conlleva el riesgo se ejecuta como máximos 2 veces por año","Muy Baja",IF(N36="La actividad que conlleva el riesgo se ejecuta de 3 a 24 veces por año","Baja",IF(N36="La actividad que conlleva el riesgo se ejecuta de 24 a 500 veces por año","Media",IF(N36="La actividad que conlleva el riesgo se ejecuta mínimo 500 veces al año y máximo 5000 veces por año","Alta","Muy Alta")))))</f>
        <v>Media</v>
      </c>
      <c r="P36" s="216">
        <f>IF(O36="","",IF(O36="Muy Baja",0.2,IF(O36="Baja",0.4,IF(O36="Media",0.6,IF(O36="Alta",0.8,IF(O36="Muy Alta",1,))))))</f>
        <v>0.6</v>
      </c>
      <c r="Q36" s="165" t="s">
        <v>109</v>
      </c>
      <c r="R36" s="303" t="str">
        <f>IF(NOT(ISERROR(MATCH(Q36,'Tabla Impacto'!$B$221:$B$223,0))),'Tabla Impacto'!$F$223&amp;"Por favor no seleccionar los criterios de impacto(Afectación Económica o presupuestal y Pérdida Reputacional)",Q36)</f>
        <v xml:space="preserve">     El riesgo afecta la imagen de la entidad con algunos usuarios de relevancia frente al logro de los objetivos</v>
      </c>
      <c r="S36" s="220" t="str">
        <f>IF(OR(R36='Tabla Impacto'!$C$11,R36='Tabla Impacto'!$D$11),"Leve",IF(OR(R36='Tabla Impacto'!$C$12,R36='Tabla Impacto'!$D$12),"Menor",IF(OR(R36='Tabla Impacto'!$C$13,R36='Tabla Impacto'!$D$13),"Moderado",IF(OR(R36='Tabla Impacto'!$C$14,R36='Tabla Impacto'!$D$14),"Mayor",IF(OR(R36='Tabla Impacto'!$C$15,R36='Tabla Impacto'!$D$15),"Catastrófico","")))))</f>
        <v>Moderado</v>
      </c>
      <c r="T36" s="216">
        <f>IF(S36="","",IF(S36="Leve",0.2,IF(S36="Menor",0.4,IF(S36="Moderado",0.6,IF(S36="Mayor",0.8,IF(S36="Catastrófico",1,))))))</f>
        <v>0.6</v>
      </c>
      <c r="U36" s="252" t="str">
        <f>IF(OR(AND(O36="Muy Baja",S36="Leve"),AND(O36="Muy Baja",S36="Menor"),AND(O36="Baja",S36="Leve")),"Bajo",IF(OR(AND(O36="Muy baja",S36="Moderado"),AND(O36="Baja",S36="Menor"),AND(O36="Baja",S36="Moderado"),AND(O36="Media",S36="Leve"),AND(O36="Media",S36="Menor"),AND(O36="Media",S36="Moderado"),AND(O36="Alta",S36="Leve"),AND(O36="Alta",S36="Menor")),"Moderado",IF(OR(AND(O36="Muy Baja",S36="Mayor"),AND(O36="Baja",S36="Mayor"),AND(O36="Media",S36="Mayor"),AND(O36="Alta",S36="Moderado"),AND(O36="Alta",S36="Mayor"),AND(O36="Muy Alta",S36="Leve"),AND(O36="Muy Alta",S36="Menor"),AND(O36="Muy Alta",S36="Moderado"),AND(O36="Muy Alta",S36="Mayor")),"Alto",IF(OR(AND(O36="Muy Baja",S36="Catastrófico"),AND(O36="Baja",S36="Catastrófico"),AND(O36="Media",S36="Catastrófico"),AND(O36="Alta",S36="Catastrófico"),AND(O36="Muy Alta",S36="Catastrófico")),"Extremo",""))))</f>
        <v>Moderado</v>
      </c>
      <c r="V36" s="182">
        <v>1</v>
      </c>
      <c r="W36" s="160" t="s">
        <v>198</v>
      </c>
      <c r="X36" s="182" t="s">
        <v>111</v>
      </c>
      <c r="Y36" s="235" t="s">
        <v>164</v>
      </c>
      <c r="Z36" s="198" t="str">
        <f>IF(AND(X36="Preventivo",Y36="Automático"),"50%",IF(AND(X36="Preventivo",Y36="Manual"),"40%",IF(AND(X36="Detectivo",Y36="Automático"),"40%",IF(AND(X36="Detectivo",Y36="Manual"),"30%",IF(AND(X36="Correctivo",Y36="Automático"),"35%",IF(AND(X36="Correctivo",Y36="Manual"),"25%",""))))))</f>
        <v>50%</v>
      </c>
      <c r="AA36" s="209" t="s">
        <v>113</v>
      </c>
      <c r="AB36" s="209" t="s">
        <v>148</v>
      </c>
      <c r="AC36" s="235" t="s">
        <v>115</v>
      </c>
      <c r="AD36" s="199">
        <f>IFERROR(IF(AE36="Probabilidad",(P36-(+P36*Z36)),IF(AE36="Impacto",P36,"")),"")</f>
        <v>0.3</v>
      </c>
      <c r="AE36" s="204" t="str">
        <f t="shared" ref="AE36:AE39" si="48">IF(OR(X36="Preventivo",X36="Detectivo"),"Probabilidad",IF(X36="Correctivo","Impacto",""))</f>
        <v>Probabilidad</v>
      </c>
      <c r="AF36" s="200" t="s">
        <v>199</v>
      </c>
      <c r="AG36" s="169" t="s">
        <v>200</v>
      </c>
      <c r="AH36" s="200" t="s">
        <v>167</v>
      </c>
      <c r="AI36" s="264" t="s">
        <v>134</v>
      </c>
      <c r="AJ36" s="220" t="str">
        <f t="shared" ref="AJ36:AJ39" si="49">IFERROR(IF(AD36="","",IF(AD36&lt;=0.2,"Muy Baja",IF(AD36&lt;=0.4,"Baja",IF(AD36&lt;=0.6,"Media",IF(AD36&lt;=0.8,"Alta","Muy Alta"))))),"")</f>
        <v>Baja</v>
      </c>
      <c r="AK36" s="247">
        <f t="shared" ref="AK36:AK39" si="50">+AD36</f>
        <v>0.3</v>
      </c>
      <c r="AL36" s="220" t="str">
        <f t="shared" ref="AL36:AL39" si="51">IFERROR(IF(AM36="","",IF(AM36&lt;=0.2,"Leve",IF(AM36&lt;=0.4,"Menor",IF(AM36&lt;=0.6,"Moderado",IF(AM36&lt;=0.8,"Mayor","Catastrófico"))))),"")</f>
        <v>Moderado</v>
      </c>
      <c r="AM36" s="247">
        <f>IFERROR(IF(AE36="Impacto",(T36-(+T36*Z36)),IF(AE36="Probabilidad",T36,"")),"")</f>
        <v>0.6</v>
      </c>
      <c r="AN36" s="252" t="str">
        <f>IFERROR(IF(OR(AND(AJ36="Muy Baja",AL36="Leve"),AND(AJ36="Muy Baja",AL36="Menor"),AND(AJ36="Baja",AL36="Leve")),"Bajo",IF(OR(AND(AJ36="Muy baja",AL36="Moderado"),AND(AJ36="Baja",AL36="Menor"),AND(AJ36="Baja",AL36="Moderado"),AND(AJ36="Media",AL36="Leve"),AND(AJ36="Media",AL36="Menor"),AND(AJ36="Media",AL36="Moderado"),AND(AJ36="Alta",AL36="Leve"),AND(AJ36="Alta",AL36="Menor")),"Moderado",IF(OR(AND(AJ36="Muy Baja",AL36="Mayor"),AND(AJ36="Baja",AL36="Mayor"),AND(AJ36="Media",AL36="Mayor"),AND(AJ36="Alta",AL36="Moderado"),AND(AJ36="Alta",AL36="Mayor"),AND(AJ36="Muy Alta",AL36="Leve"),AND(AJ36="Muy Alta",AL36="Menor"),AND(AJ36="Muy Alta",AL36="Moderado"),AND(AJ36="Muy Alta",AL36="Mayor")),"Alto",IF(OR(AND(AJ36="Muy Baja",AL36="Catastrófico"),AND(AJ36="Baja",AL36="Catastrófico"),AND(AJ36="Media",AL36="Catastrófico"),AND(AJ36="Alta",AL36="Catastrófico"),AND(AJ36="Muy Alta",AL36="Catastrófico")),"Extremo","")))),"")</f>
        <v>Moderado</v>
      </c>
      <c r="AO36" s="228" t="s">
        <v>120</v>
      </c>
      <c r="AP36" s="211" t="s">
        <v>201</v>
      </c>
      <c r="AQ36" s="211" t="s">
        <v>200</v>
      </c>
      <c r="AR36" s="211" t="s">
        <v>202</v>
      </c>
      <c r="AS36" s="211" t="s">
        <v>203</v>
      </c>
      <c r="AT36" s="211" t="s">
        <v>204</v>
      </c>
      <c r="AU36" s="242">
        <v>44562</v>
      </c>
      <c r="AV36" s="242">
        <v>44896</v>
      </c>
      <c r="AW36" s="211" t="s">
        <v>205</v>
      </c>
      <c r="AX36" s="182" t="s">
        <v>126</v>
      </c>
    </row>
    <row r="37" spans="3:51" s="131" customFormat="1" ht="165.75" thickBot="1" x14ac:dyDescent="0.3">
      <c r="C37" s="277">
        <v>31</v>
      </c>
      <c r="D37" s="172" t="s">
        <v>256</v>
      </c>
      <c r="E37" s="174" t="s">
        <v>176</v>
      </c>
      <c r="F37" s="213" t="s">
        <v>195</v>
      </c>
      <c r="G37" s="275" t="s">
        <v>544</v>
      </c>
      <c r="H37" s="213" t="s">
        <v>545</v>
      </c>
      <c r="I37" s="282" t="s">
        <v>572</v>
      </c>
      <c r="J37" s="287" t="s">
        <v>585</v>
      </c>
      <c r="K37" s="172" t="s">
        <v>105</v>
      </c>
      <c r="L37" s="174" t="s">
        <v>254</v>
      </c>
      <c r="M37" s="213" t="s">
        <v>551</v>
      </c>
      <c r="N37" s="173" t="s">
        <v>130</v>
      </c>
      <c r="O37" s="219" t="str">
        <f t="shared" ref="O37:O39" si="52">IF(N37&lt;=0,"",IF(N37&lt;="La actividad que conlleva el riesgo se ejecuta como máximos 2 veces por año","Muy Baja",IF(N37="La actividad que conlleva el riesgo se ejecuta de 3 a 24 veces por año","Baja",IF(N37="La actividad que conlleva el riesgo se ejecuta de 24 a 500 veces por año","Media",IF(N37="La actividad que conlleva el riesgo se ejecuta mínimo 500 veces al año y máximo 5000 veces por año","Alta","Muy Alta")))))</f>
        <v>Media</v>
      </c>
      <c r="P37" s="215">
        <f t="shared" ref="P37:P39" si="53">IF(O37="","",IF(O37="Muy Baja",0.2,IF(O37="Baja",0.4,IF(O37="Media",0.6,IF(O37="Alta",0.8,IF(O37="Muy Alta",1,))))))</f>
        <v>0.6</v>
      </c>
      <c r="Q37" s="175" t="s">
        <v>109</v>
      </c>
      <c r="R37" s="294" t="str">
        <f ca="1">IF(NOT(ISERROR(MATCH(Q37,_xlfn.ANCHORARRAY(#REF!),0))),#REF!&amp;"Por favor no seleccionar los criterios de impacto",Q37)</f>
        <v xml:space="preserve">     El riesgo afecta la imagen de la entidad con algunos usuarios de relevancia frente al logro de los objetivos</v>
      </c>
      <c r="S37" s="229" t="str">
        <f ca="1">IF(OR(R37='Tabla Impacto'!$C$11,R37='Tabla Impacto'!$D$11),"Leve",IF(OR(R37='Tabla Impacto'!$C$12,R37='Tabla Impacto'!$D$12),"Menor",IF(OR(R37='Tabla Impacto'!$C$13,R37='Tabla Impacto'!$D$13),"Moderado",IF(OR(R37='Tabla Impacto'!$C$14,R37='Tabla Impacto'!$D$14),"Mayor",IF(OR(R37='Tabla Impacto'!$C$15,R37='Tabla Impacto'!$D$15),"Catastrófico","")))))</f>
        <v>Moderado</v>
      </c>
      <c r="T37" s="215">
        <f t="shared" ref="T37:T39" ca="1" si="54">IF(S37="","",IF(S37="Leve",0.2,IF(S37="Menor",0.4,IF(S37="Moderado",0.6,IF(S37="Mayor",0.8,IF(S37="Catastrófico",1,))))))</f>
        <v>0.6</v>
      </c>
      <c r="U37" s="253" t="str">
        <f t="shared" ref="U37:U39" ca="1" si="55">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Moderado</v>
      </c>
      <c r="V37" s="187">
        <v>2</v>
      </c>
      <c r="W37" s="174" t="s">
        <v>206</v>
      </c>
      <c r="X37" s="187" t="s">
        <v>111</v>
      </c>
      <c r="Y37" s="237" t="s">
        <v>164</v>
      </c>
      <c r="Z37" s="203" t="str">
        <f t="shared" ref="Z37:Z39" si="56">IF(AND(X37="Preventivo",Y37="Automático"),"50%",IF(AND(X37="Preventivo",Y37="Manual"),"40%",IF(AND(X37="Detectivo",Y37="Automático"),"40%",IF(AND(X37="Detectivo",Y37="Manual"),"30%",IF(AND(X37="Correctivo",Y37="Automático"),"35%",IF(AND(X37="Correctivo",Y37="Manual"),"25%",""))))))</f>
        <v>50%</v>
      </c>
      <c r="AA37" s="209" t="s">
        <v>113</v>
      </c>
      <c r="AB37" s="209" t="s">
        <v>148</v>
      </c>
      <c r="AC37" s="237" t="s">
        <v>115</v>
      </c>
      <c r="AD37" s="199">
        <f>IFERROR(IF(AND(AE36="Probabilidad",AE37="Probabilidad"),(AK36-(+AK36*Z37)),IF(AE37="Probabilidad",(P36-(+P36*Z37)),IF(AE37="Impacto",AK36,""))),"")</f>
        <v>0.15</v>
      </c>
      <c r="AE37" s="199" t="str">
        <f t="shared" si="48"/>
        <v>Probabilidad</v>
      </c>
      <c r="AF37" s="200" t="s">
        <v>546</v>
      </c>
      <c r="AG37" s="166" t="s">
        <v>200</v>
      </c>
      <c r="AH37" s="200" t="s">
        <v>167</v>
      </c>
      <c r="AI37" s="263" t="s">
        <v>134</v>
      </c>
      <c r="AJ37" s="220" t="str">
        <f t="shared" si="49"/>
        <v>Muy Baja</v>
      </c>
      <c r="AK37" s="247">
        <f t="shared" si="50"/>
        <v>0.15</v>
      </c>
      <c r="AL37" s="219" t="str">
        <f t="shared" si="51"/>
        <v>Moderado</v>
      </c>
      <c r="AM37" s="247">
        <f>IFERROR(IF(AND(AE36="Impacto",AE37="Impacto"),(AM36-(+AM36*Z37)),IF(AE37="Impacto",($T$8-(+$T$8*AE37)),IF(AE37="Probabilidad",AM36,""))),"")</f>
        <v>0.6</v>
      </c>
      <c r="AN37" s="253"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Moderado</v>
      </c>
      <c r="AO37" s="228" t="s">
        <v>527</v>
      </c>
      <c r="AP37" s="211" t="s">
        <v>201</v>
      </c>
      <c r="AQ37" s="211" t="s">
        <v>200</v>
      </c>
      <c r="AR37" s="211" t="s">
        <v>202</v>
      </c>
      <c r="AS37" s="211" t="s">
        <v>203</v>
      </c>
      <c r="AT37" s="211" t="s">
        <v>204</v>
      </c>
      <c r="AU37" s="242">
        <v>44562</v>
      </c>
      <c r="AV37" s="242">
        <v>44896</v>
      </c>
      <c r="AW37" s="211" t="s">
        <v>205</v>
      </c>
      <c r="AX37" s="182" t="s">
        <v>126</v>
      </c>
    </row>
    <row r="38" spans="3:51" s="131" customFormat="1" ht="165.75" thickBot="1" x14ac:dyDescent="0.3">
      <c r="C38" s="278">
        <v>32</v>
      </c>
      <c r="D38" s="160" t="s">
        <v>256</v>
      </c>
      <c r="E38" s="161" t="s">
        <v>176</v>
      </c>
      <c r="F38" s="211" t="s">
        <v>195</v>
      </c>
      <c r="G38" s="273" t="s">
        <v>544</v>
      </c>
      <c r="H38" s="211" t="s">
        <v>545</v>
      </c>
      <c r="I38" s="280" t="s">
        <v>572</v>
      </c>
      <c r="J38" s="287" t="s">
        <v>585</v>
      </c>
      <c r="K38" s="160" t="s">
        <v>105</v>
      </c>
      <c r="L38" s="161" t="s">
        <v>254</v>
      </c>
      <c r="M38" s="211" t="s">
        <v>255</v>
      </c>
      <c r="N38" s="159" t="s">
        <v>130</v>
      </c>
      <c r="O38" s="226" t="str">
        <f t="shared" si="52"/>
        <v>Media</v>
      </c>
      <c r="P38" s="216">
        <f t="shared" si="53"/>
        <v>0.6</v>
      </c>
      <c r="Q38" s="165" t="s">
        <v>109</v>
      </c>
      <c r="R38" s="293" t="str">
        <f ca="1">IF(NOT(ISERROR(MATCH(Q38,_xlfn.ANCHORARRAY(#REF!),0))),#REF!&amp;"Por favor no seleccionar los criterios de impacto",Q38)</f>
        <v xml:space="preserve">     El riesgo afecta la imagen de la entidad con algunos usuarios de relevancia frente al logro de los objetivos</v>
      </c>
      <c r="S38" s="220" t="str">
        <f ca="1">IF(OR(R38='Tabla Impacto'!$C$11,R38='Tabla Impacto'!$D$11),"Leve",IF(OR(R38='Tabla Impacto'!$C$12,R38='Tabla Impacto'!$D$12),"Menor",IF(OR(R38='Tabla Impacto'!$C$13,R38='Tabla Impacto'!$D$13),"Moderado",IF(OR(R38='Tabla Impacto'!$C$14,R38='Tabla Impacto'!$D$14),"Mayor",IF(OR(R38='Tabla Impacto'!$C$15,R38='Tabla Impacto'!$D$15),"Catastrófico","")))))</f>
        <v>Moderado</v>
      </c>
      <c r="T38" s="216">
        <f t="shared" ca="1" si="54"/>
        <v>0.6</v>
      </c>
      <c r="U38" s="252" t="str">
        <f t="shared" ca="1" si="55"/>
        <v>Moderado</v>
      </c>
      <c r="V38" s="182">
        <v>3</v>
      </c>
      <c r="W38" s="160" t="s">
        <v>207</v>
      </c>
      <c r="X38" s="182" t="s">
        <v>111</v>
      </c>
      <c r="Y38" s="235" t="s">
        <v>112</v>
      </c>
      <c r="Z38" s="198" t="str">
        <f t="shared" si="56"/>
        <v>40%</v>
      </c>
      <c r="AA38" s="209" t="s">
        <v>113</v>
      </c>
      <c r="AB38" s="209" t="s">
        <v>148</v>
      </c>
      <c r="AC38" s="235" t="s">
        <v>115</v>
      </c>
      <c r="AD38" s="199">
        <f>IFERROR(IF(AND(AE37="Probabilidad",AE38="Probabilidad"),(AK37-(+AK37*Z38)),IF(AND(AE37="Impacto",AE38="Probabilidad"),(Z37-(+Z37*Z38)),IF(AE38="Impacto",AE37,""))),"")</f>
        <v>0.09</v>
      </c>
      <c r="AE38" s="204" t="str">
        <f t="shared" si="48"/>
        <v>Probabilidad</v>
      </c>
      <c r="AF38" s="200" t="s">
        <v>208</v>
      </c>
      <c r="AG38" s="166" t="s">
        <v>209</v>
      </c>
      <c r="AH38" s="200" t="s">
        <v>167</v>
      </c>
      <c r="AI38" s="263" t="s">
        <v>134</v>
      </c>
      <c r="AJ38" s="220" t="str">
        <f t="shared" si="49"/>
        <v>Muy Baja</v>
      </c>
      <c r="AK38" s="247">
        <f t="shared" si="50"/>
        <v>0.09</v>
      </c>
      <c r="AL38" s="220" t="str">
        <f t="shared" si="51"/>
        <v>Moderado</v>
      </c>
      <c r="AM38" s="247">
        <f>IFERROR(IF(AND(AE37="Impacto",AE38="Impacto"),(AM37-(+AM37*Z38)),IF(AND(AE37="Probabilidad",AE38="Impacto"),(AM36-(+AM36*Z38)),IF(AE38="Probabilidad",AM37,""))),"")</f>
        <v>0.6</v>
      </c>
      <c r="AN38" s="252" t="str">
        <f>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Moderado</v>
      </c>
      <c r="AO38" s="228" t="s">
        <v>190</v>
      </c>
      <c r="AP38" s="243" t="s">
        <v>191</v>
      </c>
      <c r="AQ38" s="243" t="s">
        <v>191</v>
      </c>
      <c r="AR38" s="213" t="s">
        <v>192</v>
      </c>
      <c r="AS38" s="211" t="s">
        <v>193</v>
      </c>
      <c r="AT38" s="211" t="s">
        <v>193</v>
      </c>
      <c r="AU38" s="242" t="s">
        <v>134</v>
      </c>
      <c r="AV38" s="242" t="s">
        <v>134</v>
      </c>
      <c r="AW38" s="242" t="s">
        <v>134</v>
      </c>
      <c r="AX38" s="242" t="s">
        <v>134</v>
      </c>
    </row>
    <row r="39" spans="3:51" s="131" customFormat="1" ht="165.75" thickBot="1" x14ac:dyDescent="0.3">
      <c r="C39" s="278">
        <v>33</v>
      </c>
      <c r="D39" s="160" t="s">
        <v>256</v>
      </c>
      <c r="E39" s="161" t="s">
        <v>176</v>
      </c>
      <c r="F39" s="211" t="s">
        <v>195</v>
      </c>
      <c r="G39" s="273" t="s">
        <v>544</v>
      </c>
      <c r="H39" s="211" t="s">
        <v>545</v>
      </c>
      <c r="I39" s="280" t="s">
        <v>572</v>
      </c>
      <c r="J39" s="287" t="s">
        <v>585</v>
      </c>
      <c r="K39" s="160" t="s">
        <v>105</v>
      </c>
      <c r="L39" s="161" t="s">
        <v>254</v>
      </c>
      <c r="M39" s="211" t="s">
        <v>255</v>
      </c>
      <c r="N39" s="159" t="s">
        <v>130</v>
      </c>
      <c r="O39" s="220" t="str">
        <f t="shared" si="52"/>
        <v>Media</v>
      </c>
      <c r="P39" s="216">
        <f t="shared" si="53"/>
        <v>0.6</v>
      </c>
      <c r="Q39" s="165" t="s">
        <v>109</v>
      </c>
      <c r="R39" s="293" t="str">
        <f ca="1">IF(NOT(ISERROR(MATCH(Q39,_xlfn.ANCHORARRAY(#REF!),0))),#REF!&amp;"Por favor no seleccionar los criterios de impacto",Q39)</f>
        <v xml:space="preserve">     El riesgo afecta la imagen de la entidad con algunos usuarios de relevancia frente al logro de los objetivos</v>
      </c>
      <c r="S39" s="220" t="str">
        <f ca="1">IF(OR(R39='Tabla Impacto'!$C$11,R39='Tabla Impacto'!$D$11),"Leve",IF(OR(R39='Tabla Impacto'!$C$12,R39='Tabla Impacto'!$D$12),"Menor",IF(OR(R39='Tabla Impacto'!$C$13,R39='Tabla Impacto'!$D$13),"Moderado",IF(OR(R39='Tabla Impacto'!$C$14,R39='Tabla Impacto'!$D$14),"Mayor",IF(OR(R39='Tabla Impacto'!$C$15,R39='Tabla Impacto'!$D$15),"Catastrófico","")))))</f>
        <v>Moderado</v>
      </c>
      <c r="T39" s="216">
        <f t="shared" ca="1" si="54"/>
        <v>0.6</v>
      </c>
      <c r="U39" s="252" t="str">
        <f t="shared" ca="1" si="55"/>
        <v>Moderado</v>
      </c>
      <c r="V39" s="182">
        <v>4</v>
      </c>
      <c r="W39" s="160" t="s">
        <v>210</v>
      </c>
      <c r="X39" s="182" t="s">
        <v>111</v>
      </c>
      <c r="Y39" s="235" t="s">
        <v>112</v>
      </c>
      <c r="Z39" s="198" t="str">
        <f t="shared" si="56"/>
        <v>40%</v>
      </c>
      <c r="AA39" s="209" t="s">
        <v>113</v>
      </c>
      <c r="AB39" s="209" t="s">
        <v>148</v>
      </c>
      <c r="AC39" s="235" t="s">
        <v>115</v>
      </c>
      <c r="AD39" s="199">
        <f>IFERROR(IF(AND(AE38="Probabilidad",AE39="Probabilidad"),(AK38-(+AK38*Z39)),IF(AND(AE38="Impacto",AE39="Probabilidad"),(Z38-(+Z38*Z39)),IF(AE39="Impacto",AE38,""))),"")</f>
        <v>5.3999999999999999E-2</v>
      </c>
      <c r="AE39" s="199" t="str">
        <f t="shared" si="48"/>
        <v>Probabilidad</v>
      </c>
      <c r="AF39" s="200" t="s">
        <v>211</v>
      </c>
      <c r="AG39" s="166" t="s">
        <v>209</v>
      </c>
      <c r="AH39" s="200" t="s">
        <v>167</v>
      </c>
      <c r="AI39" s="263" t="s">
        <v>134</v>
      </c>
      <c r="AJ39" s="220" t="str">
        <f t="shared" si="49"/>
        <v>Muy Baja</v>
      </c>
      <c r="AK39" s="247">
        <f t="shared" si="50"/>
        <v>5.3999999999999999E-2</v>
      </c>
      <c r="AL39" s="220" t="str">
        <f t="shared" si="51"/>
        <v>Moderado</v>
      </c>
      <c r="AM39" s="247">
        <f>IFERROR(IF(AND(AE38="Impacto",AE39="Impacto"),(AM38-(+AM38*Z39)),IF(AND(AE38="Probabilidad",AE39="Impacto"),(AM37-(+AM37*Z39)),IF(AE39="Probabilidad",AM38,""))),"")</f>
        <v>0.6</v>
      </c>
      <c r="AN39" s="252" t="str">
        <f t="shared" ref="AN39" si="57">IFERROR(IF(OR(AND(AJ39="Muy Baja",AL39="Leve"),AND(AJ39="Muy Baja",AL39="Menor"),AND(AJ39="Baja",AL39="Leve")),"Bajo",IF(OR(AND(AJ39="Muy baja",AL39="Moderado"),AND(AJ39="Baja",AL39="Menor"),AND(AJ39="Baja",AL39="Moderado"),AND(AJ39="Media",AL39="Leve"),AND(AJ39="Media",AL39="Menor"),AND(AJ39="Media",AL39="Moderado"),AND(AJ39="Alta",AL39="Leve"),AND(AJ39="Alta",AL39="Menor")),"Moderado",IF(OR(AND(AJ39="Muy Baja",AL39="Mayor"),AND(AJ39="Baja",AL39="Mayor"),AND(AJ39="Media",AL39="Mayor"),AND(AJ39="Alta",AL39="Moderado"),AND(AJ39="Alta",AL39="Mayor"),AND(AJ39="Muy Alta",AL39="Leve"),AND(AJ39="Muy Alta",AL39="Menor"),AND(AJ39="Muy Alta",AL39="Moderado"),AND(AJ39="Muy Alta",AL39="Mayor")),"Alto",IF(OR(AND(AJ39="Muy Baja",AL39="Catastrófico"),AND(AJ39="Baja",AL39="Catastrófico"),AND(AJ39="Media",AL39="Catastrófico"),AND(AJ39="Alta",AL39="Catastrófico"),AND(AJ39="Muy Alta",AL39="Catastrófico")),"Extremo","")))),"")</f>
        <v>Moderado</v>
      </c>
      <c r="AO39" s="228" t="s">
        <v>190</v>
      </c>
      <c r="AP39" s="242" t="s">
        <v>191</v>
      </c>
      <c r="AQ39" s="242" t="s">
        <v>191</v>
      </c>
      <c r="AR39" s="211" t="s">
        <v>192</v>
      </c>
      <c r="AS39" s="214" t="s">
        <v>193</v>
      </c>
      <c r="AT39" s="213" t="s">
        <v>193</v>
      </c>
      <c r="AU39" s="243" t="s">
        <v>134</v>
      </c>
      <c r="AV39" s="243" t="s">
        <v>134</v>
      </c>
      <c r="AW39" s="243" t="s">
        <v>134</v>
      </c>
      <c r="AX39" s="243" t="s">
        <v>134</v>
      </c>
    </row>
    <row r="40" spans="3:51" s="131" customFormat="1" ht="135.75" thickBot="1" x14ac:dyDescent="0.3">
      <c r="C40" s="187">
        <v>34</v>
      </c>
      <c r="D40" s="172" t="s">
        <v>258</v>
      </c>
      <c r="E40" s="174" t="s">
        <v>259</v>
      </c>
      <c r="F40" s="213" t="s">
        <v>102</v>
      </c>
      <c r="G40" s="275" t="s">
        <v>260</v>
      </c>
      <c r="H40" s="213" t="s">
        <v>261</v>
      </c>
      <c r="I40" s="282" t="s">
        <v>573</v>
      </c>
      <c r="J40" s="287" t="s">
        <v>584</v>
      </c>
      <c r="K40" s="172" t="s">
        <v>105</v>
      </c>
      <c r="L40" s="174" t="s">
        <v>106</v>
      </c>
      <c r="M40" s="213" t="s">
        <v>262</v>
      </c>
      <c r="N40" s="173" t="s">
        <v>108</v>
      </c>
      <c r="O40" s="219" t="str">
        <f>IF(N40&lt;=0,"",IF(N40&lt;="La actividad que conlleva el riesgo se ejecuta como máximos 2 veces por año","Muy Baja",IF(N40="La actividad que conlleva el riesgo se ejecuta de 3 a 24 veces por año","Baja",IF(N40="La actividad que conlleva el riesgo se ejecuta de 24 a 500 veces por año","Media",IF(N40="La actividad que conlleva el riesgo se ejecuta mínimo 500 veces al año y máximo 5000 veces por año","Alta","Muy Alta")))))</f>
        <v>Baja</v>
      </c>
      <c r="P40" s="215">
        <f>IF(O40="","",IF(O40="Muy Baja",0.2,IF(O40="Baja",0.4,IF(O40="Media",0.6,IF(O40="Alta",0.8,IF(O40="Muy Alta",1,))))))</f>
        <v>0.4</v>
      </c>
      <c r="Q40" s="175" t="s">
        <v>248</v>
      </c>
      <c r="R40" s="152" t="str">
        <f>IF(NOT(ISERROR(MATCH(Q40,'Tabla Impacto'!$B$221:$B$223,0))),'Tabla Impacto'!$F$223&amp;"Por favor no seleccionar los criterios de impacto(Afectación Económica o presupuestal y Pérdida Reputacional)",Q40)</f>
        <v xml:space="preserve">     El riesgo afecta la imagen de alguna área de la organización</v>
      </c>
      <c r="S40" s="229" t="str">
        <f>IF(OR(R40='Tabla Impacto'!$C$11,R40='Tabla Impacto'!$D$11),"Leve",IF(OR(R40='Tabla Impacto'!$C$12,R40='Tabla Impacto'!$D$12),"Menor",IF(OR(R40='Tabla Impacto'!$C$13,R40='Tabla Impacto'!$D$13),"Moderado",IF(OR(R40='Tabla Impacto'!$C$14,R40='Tabla Impacto'!$D$14),"Mayor",IF(OR(R40='Tabla Impacto'!$C$15,R40='Tabla Impacto'!$D$15),"Catastrófico","")))))</f>
        <v>Leve</v>
      </c>
      <c r="T40" s="215">
        <f>IF(S40="","",IF(S40="Leve",0.2,IF(S40="Menor",0.4,IF(S40="Moderado",0.6,IF(S40="Mayor",0.8,IF(S40="Catastrófico",1,))))))</f>
        <v>0.2</v>
      </c>
      <c r="U40" s="253" t="str">
        <f>IF(OR(AND(O40="Muy Baja",S40="Leve"),AND(O40="Muy Baja",S40="Menor"),AND(O40="Baja",S40="Leve")),"Bajo",IF(OR(AND(O40="Muy baja",S40="Moderado"),AND(O40="Baja",S40="Menor"),AND(O40="Baja",S40="Moderado"),AND(O40="Media",S40="Leve"),AND(O40="Media",S40="Menor"),AND(O40="Media",S40="Moderado"),AND(O40="Alta",S40="Leve"),AND(O40="Alta",S40="Menor")),"Moderado",IF(OR(AND(O40="Muy Baja",S40="Mayor"),AND(O40="Baja",S40="Mayor"),AND(O40="Media",S40="Mayor"),AND(O40="Alta",S40="Moderado"),AND(O40="Alta",S40="Mayor"),AND(O40="Muy Alta",S40="Leve"),AND(O40="Muy Alta",S40="Menor"),AND(O40="Muy Alta",S40="Moderado"),AND(O40="Muy Alta",S40="Mayor")),"Alto",IF(OR(AND(O40="Muy Baja",S40="Catastrófico"),AND(O40="Baja",S40="Catastrófico"),AND(O40="Media",S40="Catastrófico"),AND(O40="Alta",S40="Catastrófico"),AND(O40="Muy Alta",S40="Catastrófico")),"Extremo",""))))</f>
        <v>Bajo</v>
      </c>
      <c r="V40" s="187">
        <v>1</v>
      </c>
      <c r="W40" s="174" t="s">
        <v>263</v>
      </c>
      <c r="X40" s="187" t="s">
        <v>111</v>
      </c>
      <c r="Y40" s="237" t="s">
        <v>112</v>
      </c>
      <c r="Z40" s="203" t="str">
        <f>IF(AND(X40="Preventivo",Y40="Automático"),"50%",IF(AND(X40="Preventivo",Y40="Manual"),"40%",IF(AND(X40="Detectivo",Y40="Automático"),"40%",IF(AND(X40="Detectivo",Y40="Manual"),"30%",IF(AND(X40="Correctivo",Y40="Automático"),"35%",IF(AND(X40="Correctivo",Y40="Manual"),"25%",""))))))</f>
        <v>40%</v>
      </c>
      <c r="AA40" s="209" t="s">
        <v>113</v>
      </c>
      <c r="AB40" s="209" t="s">
        <v>148</v>
      </c>
      <c r="AC40" s="237" t="s">
        <v>115</v>
      </c>
      <c r="AD40" s="199">
        <f>IFERROR(IF(AE40="Probabilidad",(P40-(+P40*Z40)),IF(AE40="Impacto",P40,"")),"")</f>
        <v>0.24</v>
      </c>
      <c r="AE40" s="199" t="str">
        <f t="shared" ref="AE40" si="58">IF(OR(X40="Preventivo",X40="Detectivo"),"Probabilidad",IF(X40="Correctivo","Impacto",""))</f>
        <v>Probabilidad</v>
      </c>
      <c r="AF40" s="200" t="s">
        <v>264</v>
      </c>
      <c r="AG40" s="169" t="s">
        <v>265</v>
      </c>
      <c r="AH40" s="200" t="s">
        <v>167</v>
      </c>
      <c r="AI40" s="263" t="s">
        <v>134</v>
      </c>
      <c r="AJ40" s="220" t="str">
        <f t="shared" ref="AJ40" si="59">IFERROR(IF(AD40="","",IF(AD40&lt;=0.2,"Muy Baja",IF(AD40&lt;=0.4,"Baja",IF(AD40&lt;=0.6,"Media",IF(AD40&lt;=0.8,"Alta","Muy Alta"))))),"")</f>
        <v>Baja</v>
      </c>
      <c r="AK40" s="247">
        <f t="shared" ref="AK40" si="60">+AD40</f>
        <v>0.24</v>
      </c>
      <c r="AL40" s="219" t="str">
        <f t="shared" ref="AL40" si="61">IFERROR(IF(AM40="","",IF(AM40&lt;=0.2,"Leve",IF(AM40&lt;=0.4,"Menor",IF(AM40&lt;=0.6,"Moderado",IF(AM40&lt;=0.8,"Mayor","Catastrófico"))))),"")</f>
        <v>Leve</v>
      </c>
      <c r="AM40" s="247">
        <f>IFERROR(IF(AE40="Impacto",(T40-(+T40*Z40)),IF(AE40="Probabilidad",T40,"")),"")</f>
        <v>0.2</v>
      </c>
      <c r="AN40" s="253"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Bajo</v>
      </c>
      <c r="AO40" s="228" t="s">
        <v>120</v>
      </c>
      <c r="AP40" s="213" t="s">
        <v>257</v>
      </c>
      <c r="AQ40" s="213" t="s">
        <v>266</v>
      </c>
      <c r="AR40" s="213" t="s">
        <v>136</v>
      </c>
      <c r="AS40" s="213" t="s">
        <v>137</v>
      </c>
      <c r="AT40" s="211" t="s">
        <v>267</v>
      </c>
      <c r="AU40" s="242">
        <v>44562</v>
      </c>
      <c r="AV40" s="242">
        <v>44896</v>
      </c>
      <c r="AW40" s="211" t="s">
        <v>118</v>
      </c>
      <c r="AX40" s="182" t="s">
        <v>126</v>
      </c>
    </row>
    <row r="41" spans="3:51" ht="90.75" thickBot="1" x14ac:dyDescent="0.25">
      <c r="C41" s="184">
        <v>35</v>
      </c>
      <c r="D41" s="154" t="s">
        <v>268</v>
      </c>
      <c r="E41" s="155" t="s">
        <v>269</v>
      </c>
      <c r="F41" s="212" t="s">
        <v>102</v>
      </c>
      <c r="G41" s="274" t="s">
        <v>270</v>
      </c>
      <c r="H41" s="212" t="s">
        <v>261</v>
      </c>
      <c r="I41" s="281" t="s">
        <v>575</v>
      </c>
      <c r="J41" s="287" t="s">
        <v>582</v>
      </c>
      <c r="K41" s="154" t="s">
        <v>105</v>
      </c>
      <c r="L41" s="155" t="s">
        <v>106</v>
      </c>
      <c r="M41" s="212" t="s">
        <v>271</v>
      </c>
      <c r="N41" s="153" t="s">
        <v>108</v>
      </c>
      <c r="O41" s="223" t="str">
        <f>IF(N41&lt;=0,"",IF(N41&lt;="La actividad que conlleva el riesgo se ejecuta como máximos 2 veces por año","Muy Baja",IF(N41="La actividad que conlleva el riesgo se ejecuta de 3 a 24 veces por año","Baja",IF(N41="La actividad que conlleva el riesgo se ejecuta de 24 a 500 veces por año","Media",IF(N41="La actividad que conlleva el riesgo se ejecuta mínimo 500 veces al año y máximo 5000 veces por año","Alta","Muy Alta")))))</f>
        <v>Baja</v>
      </c>
      <c r="P41" s="217">
        <f>IF(O41="","",IF(O41="Muy Baja",0.2,IF(O41="Baja",0.4,IF(O41="Media",0.6,IF(O41="Alta",0.8,IF(O41="Muy Alta",1,))))))</f>
        <v>0.4</v>
      </c>
      <c r="Q41" s="163" t="s">
        <v>248</v>
      </c>
      <c r="R41" s="301" t="str">
        <f>IF(NOT(ISERROR(MATCH(Q41,'Tabla Impacto'!$B$221:$B$223,0))),'Tabla Impacto'!$F$223&amp;"Por favor no seleccionar los criterios de impacto(Afectación Económica o presupuestal y Pérdida Reputacional)",Q41)</f>
        <v xml:space="preserve">     El riesgo afecta la imagen de alguna área de la organización</v>
      </c>
      <c r="S41" s="233" t="str">
        <f>IF(OR(R41='Tabla Impacto'!$C$11,R41='Tabla Impacto'!$D$11),"Leve",IF(OR(R41='Tabla Impacto'!$C$12,R41='Tabla Impacto'!$D$12),"Menor",IF(OR(R41='Tabla Impacto'!$C$13,R41='Tabla Impacto'!$D$13),"Moderado",IF(OR(R41='Tabla Impacto'!$C$14,R41='Tabla Impacto'!$D$14),"Mayor",IF(OR(R41='Tabla Impacto'!$C$15,R41='Tabla Impacto'!$D$15),"Catastrófico","")))))</f>
        <v>Leve</v>
      </c>
      <c r="T41" s="217">
        <f>IF(S41="","",IF(S41="Leve",0.2,IF(S41="Menor",0.4,IF(S41="Moderado",0.6,IF(S41="Mayor",0.8,IF(S41="Catastrófico",1,))))))</f>
        <v>0.2</v>
      </c>
      <c r="U41" s="258" t="str">
        <f>IF(OR(AND(O41="Muy Baja",S41="Leve"),AND(O41="Muy Baja",S41="Menor"),AND(O41="Baja",S41="Leve")),"Bajo",IF(OR(AND(O41="Muy baja",S41="Moderado"),AND(O41="Baja",S41="Menor"),AND(O41="Baja",S41="Moderado"),AND(O41="Media",S41="Leve"),AND(O41="Media",S41="Menor"),AND(O41="Media",S41="Moderado"),AND(O41="Alta",S41="Leve"),AND(O41="Alta",S41="Menor")),"Moderado",IF(OR(AND(O41="Muy Baja",S41="Mayor"),AND(O41="Baja",S41="Mayor"),AND(O41="Media",S41="Mayor"),AND(O41="Alta",S41="Moderado"),AND(O41="Alta",S41="Mayor"),AND(O41="Muy Alta",S41="Leve"),AND(O41="Muy Alta",S41="Menor"),AND(O41="Muy Alta",S41="Moderado"),AND(O41="Muy Alta",S41="Mayor")),"Alto",IF(OR(AND(O41="Muy Baja",S41="Catastrófico"),AND(O41="Baja",S41="Catastrófico"),AND(O41="Media",S41="Catastrófico"),AND(O41="Alta",S41="Catastrófico"),AND(O41="Muy Alta",S41="Catastrófico")),"Extremo",""))))</f>
        <v>Bajo</v>
      </c>
      <c r="V41" s="184">
        <v>1</v>
      </c>
      <c r="W41" s="155" t="s">
        <v>272</v>
      </c>
      <c r="X41" s="184" t="s">
        <v>111</v>
      </c>
      <c r="Y41" s="239" t="s">
        <v>112</v>
      </c>
      <c r="Z41" s="207" t="str">
        <f>IF(AND(X41="Preventivo",Y41="Automático"),"50%",IF(AND(X41="Preventivo",Y41="Manual"),"40%",IF(AND(X41="Detectivo",Y41="Automático"),"40%",IF(AND(X41="Detectivo",Y41="Manual"),"30%",IF(AND(X41="Correctivo",Y41="Automático"),"35%",IF(AND(X41="Correctivo",Y41="Manual"),"25%",""))))))</f>
        <v>40%</v>
      </c>
      <c r="AA41" s="209" t="s">
        <v>113</v>
      </c>
      <c r="AB41" s="209" t="s">
        <v>148</v>
      </c>
      <c r="AC41" s="235" t="s">
        <v>115</v>
      </c>
      <c r="AD41" s="199">
        <f>IFERROR(IF(AE41="Probabilidad",(P41-(+P41*Z41)),IF(AE41="Impacto",P41,"")),"")</f>
        <v>0.24</v>
      </c>
      <c r="AE41" s="208" t="str">
        <f t="shared" ref="AE41:AE43" si="62">IF(OR(X41="Preventivo",X41="Detectivo"),"Probabilidad",IF(X41="Correctivo","Impacto",""))</f>
        <v>Probabilidad</v>
      </c>
      <c r="AF41" s="200" t="s">
        <v>273</v>
      </c>
      <c r="AG41" s="166" t="s">
        <v>274</v>
      </c>
      <c r="AH41" s="200" t="s">
        <v>167</v>
      </c>
      <c r="AI41" s="263" t="s">
        <v>134</v>
      </c>
      <c r="AJ41" s="220" t="str">
        <f t="shared" ref="AJ41:AJ43" si="63">IFERROR(IF(AD41="","",IF(AD41&lt;=0.2,"Muy Baja",IF(AD41&lt;=0.4,"Baja",IF(AD41&lt;=0.6,"Media",IF(AD41&lt;=0.8,"Alta","Muy Alta"))))),"")</f>
        <v>Baja</v>
      </c>
      <c r="AK41" s="247">
        <f t="shared" ref="AK41:AK43" si="64">+AD41</f>
        <v>0.24</v>
      </c>
      <c r="AL41" s="223" t="str">
        <f t="shared" ref="AL41:AL43" si="65">IFERROR(IF(AM41="","",IF(AM41&lt;=0.2,"Leve",IF(AM41&lt;=0.4,"Menor",IF(AM41&lt;=0.6,"Moderado",IF(AM41&lt;=0.8,"Mayor","Catastrófico"))))),"")</f>
        <v>Leve</v>
      </c>
      <c r="AM41" s="247">
        <f>IFERROR(IF(AE41="Impacto",(T41-(+T41*Z41)),IF(AE41="Probabilidad",T41,"")),"")</f>
        <v>0.2</v>
      </c>
      <c r="AN41" s="258" t="str">
        <f>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Bajo</v>
      </c>
      <c r="AO41" s="228" t="s">
        <v>190</v>
      </c>
      <c r="AP41" s="244" t="s">
        <v>191</v>
      </c>
      <c r="AQ41" s="244" t="s">
        <v>191</v>
      </c>
      <c r="AR41" s="212" t="s">
        <v>192</v>
      </c>
      <c r="AS41" s="212" t="s">
        <v>193</v>
      </c>
      <c r="AT41" s="212" t="s">
        <v>193</v>
      </c>
      <c r="AU41" s="244" t="s">
        <v>134</v>
      </c>
      <c r="AV41" s="244" t="s">
        <v>134</v>
      </c>
      <c r="AW41" s="244" t="s">
        <v>134</v>
      </c>
      <c r="AX41" s="244" t="s">
        <v>134</v>
      </c>
      <c r="AY41" s="167"/>
    </row>
    <row r="42" spans="3:51" ht="90.75" thickBot="1" x14ac:dyDescent="0.25">
      <c r="C42" s="182">
        <v>36</v>
      </c>
      <c r="D42" s="160" t="s">
        <v>268</v>
      </c>
      <c r="E42" s="161" t="s">
        <v>269</v>
      </c>
      <c r="F42" s="211" t="s">
        <v>102</v>
      </c>
      <c r="G42" s="273" t="s">
        <v>270</v>
      </c>
      <c r="H42" s="211" t="s">
        <v>261</v>
      </c>
      <c r="I42" s="280" t="s">
        <v>574</v>
      </c>
      <c r="J42" s="287" t="s">
        <v>582</v>
      </c>
      <c r="K42" s="160" t="s">
        <v>105</v>
      </c>
      <c r="L42" s="162" t="s">
        <v>106</v>
      </c>
      <c r="M42" s="211" t="s">
        <v>271</v>
      </c>
      <c r="N42" s="159" t="s">
        <v>108</v>
      </c>
      <c r="O42" s="221" t="str">
        <f t="shared" ref="O42:O43" si="66">IF(N42&lt;=0,"",IF(N42&lt;="La actividad que conlleva el riesgo se ejecuta como máximos 2 veces por año","Muy Baja",IF(N42="La actividad que conlleva el riesgo se ejecuta de 3 a 24 veces por año","Baja",IF(N42="La actividad que conlleva el riesgo se ejecuta de 24 a 500 veces por año","Media",IF(N42="La actividad que conlleva el riesgo se ejecuta mínimo 500 veces al año y máximo 5000 veces por año","Alta","Muy Alta")))))</f>
        <v>Baja</v>
      </c>
      <c r="P42" s="216">
        <f t="shared" ref="P42:P43" si="67">IF(O42="","",IF(O42="Muy Baja",0.2,IF(O42="Baja",0.4,IF(O42="Media",0.6,IF(O42="Alta",0.8,IF(O42="Muy Alta",1,))))))</f>
        <v>0.4</v>
      </c>
      <c r="Q42" s="165" t="s">
        <v>248</v>
      </c>
      <c r="R42" s="293" t="str">
        <f ca="1">IF(NOT(ISERROR(MATCH(Q42,_xlfn.ANCHORARRAY(#REF!),0))),#REF!&amp;"Por favor no seleccionar los criterios de impacto",Q42)</f>
        <v xml:space="preserve">     El riesgo afecta la imagen de alguna área de la organización</v>
      </c>
      <c r="S42" s="220" t="str">
        <f ca="1">IF(OR(R42='Tabla Impacto'!$C$11,R42='Tabla Impacto'!$D$11),"Leve",IF(OR(R42='Tabla Impacto'!$C$12,R42='Tabla Impacto'!$D$12),"Menor",IF(OR(R42='Tabla Impacto'!$C$13,R42='Tabla Impacto'!$D$13),"Moderado",IF(OR(R42='Tabla Impacto'!$C$14,R42='Tabla Impacto'!$D$14),"Mayor",IF(OR(R42='Tabla Impacto'!$C$15,R42='Tabla Impacto'!$D$15),"Catastrófico","")))))</f>
        <v>Leve</v>
      </c>
      <c r="T42" s="216">
        <f t="shared" ref="T42:T43" ca="1" si="68">IF(S42="","",IF(S42="Leve",0.2,IF(S42="Menor",0.4,IF(S42="Moderado",0.6,IF(S42="Mayor",0.8,IF(S42="Catastrófico",1,))))))</f>
        <v>0.2</v>
      </c>
      <c r="U42" s="252" t="str">
        <f t="shared" ref="U42:U43" ca="1" si="69">IF(OR(AND(O42="Muy Baja",S42="Leve"),AND(O42="Muy Baja",S42="Menor"),AND(O42="Baja",S42="Leve")),"Bajo",IF(OR(AND(O42="Muy baja",S42="Moderado"),AND(O42="Baja",S42="Menor"),AND(O42="Baja",S42="Moderado"),AND(O42="Media",S42="Leve"),AND(O42="Media",S42="Menor"),AND(O42="Media",S42="Moderado"),AND(O42="Alta",S42="Leve"),AND(O42="Alta",S42="Menor")),"Moderado",IF(OR(AND(O42="Muy Baja",S42="Mayor"),AND(O42="Baja",S42="Mayor"),AND(O42="Media",S42="Mayor"),AND(O42="Alta",S42="Moderado"),AND(O42="Alta",S42="Mayor"),AND(O42="Muy Alta",S42="Leve"),AND(O42="Muy Alta",S42="Menor"),AND(O42="Muy Alta",S42="Moderado"),AND(O42="Muy Alta",S42="Mayor")),"Alto",IF(OR(AND(O42="Muy Baja",S42="Catastrófico"),AND(O42="Baja",S42="Catastrófico"),AND(O42="Media",S42="Catastrófico"),AND(O42="Alta",S42="Catastrófico"),AND(O42="Muy Alta",S42="Catastrófico")),"Extremo",""))))</f>
        <v>Bajo</v>
      </c>
      <c r="V42" s="182">
        <v>2</v>
      </c>
      <c r="W42" s="160" t="s">
        <v>198</v>
      </c>
      <c r="X42" s="182" t="s">
        <v>111</v>
      </c>
      <c r="Y42" s="235" t="s">
        <v>164</v>
      </c>
      <c r="Z42" s="198" t="str">
        <f t="shared" ref="Z42:Z43" si="70">IF(AND(X42="Preventivo",Y42="Automático"),"50%",IF(AND(X42="Preventivo",Y42="Manual"),"40%",IF(AND(X42="Detectivo",Y42="Automático"),"40%",IF(AND(X42="Detectivo",Y42="Manual"),"30%",IF(AND(X42="Correctivo",Y42="Automático"),"35%",IF(AND(X42="Correctivo",Y42="Manual"),"25%",""))))))</f>
        <v>50%</v>
      </c>
      <c r="AA42" s="209" t="s">
        <v>113</v>
      </c>
      <c r="AB42" s="209" t="s">
        <v>148</v>
      </c>
      <c r="AC42" s="237" t="s">
        <v>115</v>
      </c>
      <c r="AD42" s="199">
        <f>IFERROR(IF(AND(AE41="Probabilidad",AE42="Probabilidad"),(AK41-(+AK41*Z42)),IF(AE42="Probabilidad",(P41-(+P41*Z42)),IF(AE42="Impacto",AK41,""))),"")</f>
        <v>0.12</v>
      </c>
      <c r="AE42" s="199" t="str">
        <f t="shared" si="62"/>
        <v>Probabilidad</v>
      </c>
      <c r="AF42" s="200" t="s">
        <v>199</v>
      </c>
      <c r="AG42" s="166" t="s">
        <v>200</v>
      </c>
      <c r="AH42" s="200" t="s">
        <v>167</v>
      </c>
      <c r="AI42" s="263" t="s">
        <v>134</v>
      </c>
      <c r="AJ42" s="220" t="str">
        <f t="shared" si="63"/>
        <v>Muy Baja</v>
      </c>
      <c r="AK42" s="247">
        <f t="shared" si="64"/>
        <v>0.12</v>
      </c>
      <c r="AL42" s="220" t="str">
        <f t="shared" si="65"/>
        <v>Leve</v>
      </c>
      <c r="AM42" s="247">
        <f>IFERROR(IF(AND(AE41="Impacto",AE42="Impacto"),(AM41-(+AM41*Z42)),IF(AE42="Impacto",($T$8-(+$T$8*AE42)),IF(AE42="Probabilidad",AM41,""))),"")</f>
        <v>0.2</v>
      </c>
      <c r="AN42" s="252" t="str">
        <f>IFERROR(IF(OR(AND(AJ42="Muy Baja",AL42="Leve"),AND(AJ42="Muy Baja",AL42="Menor"),AND(AJ42="Baja",AL42="Leve")),"Bajo",IF(OR(AND(AJ42="Muy baja",AL42="Moderado"),AND(AJ42="Baja",AL42="Menor"),AND(AJ42="Baja",AL42="Moderado"),AND(AJ42="Media",AL42="Leve"),AND(AJ42="Media",AL42="Menor"),AND(AJ42="Media",AL42="Moderado"),AND(AJ42="Alta",AL42="Leve"),AND(AJ42="Alta",AL42="Menor")),"Moderado",IF(OR(AND(AJ42="Muy Baja",AL42="Mayor"),AND(AJ42="Baja",AL42="Mayor"),AND(AJ42="Media",AL42="Mayor"),AND(AJ42="Alta",AL42="Moderado"),AND(AJ42="Alta",AL42="Mayor"),AND(AJ42="Muy Alta",AL42="Leve"),AND(AJ42="Muy Alta",AL42="Menor"),AND(AJ42="Muy Alta",AL42="Moderado"),AND(AJ42="Muy Alta",AL42="Mayor")),"Alto",IF(OR(AND(AJ42="Muy Baja",AL42="Catastrófico"),AND(AJ42="Baja",AL42="Catastrófico"),AND(AJ42="Media",AL42="Catastrófico"),AND(AJ42="Alta",AL42="Catastrófico"),AND(AJ42="Muy Alta",AL42="Catastrófico")),"Extremo","")))),"")</f>
        <v>Bajo</v>
      </c>
      <c r="AO42" s="228" t="s">
        <v>190</v>
      </c>
      <c r="AP42" s="242" t="s">
        <v>191</v>
      </c>
      <c r="AQ42" s="242" t="s">
        <v>191</v>
      </c>
      <c r="AR42" s="211" t="s">
        <v>192</v>
      </c>
      <c r="AS42" s="211" t="s">
        <v>193</v>
      </c>
      <c r="AT42" s="211" t="s">
        <v>193</v>
      </c>
      <c r="AU42" s="242" t="s">
        <v>134</v>
      </c>
      <c r="AV42" s="242" t="s">
        <v>134</v>
      </c>
      <c r="AW42" s="242" t="s">
        <v>134</v>
      </c>
      <c r="AX42" s="242" t="s">
        <v>134</v>
      </c>
      <c r="AY42" s="167"/>
    </row>
    <row r="43" spans="3:51" ht="90.75" thickBot="1" x14ac:dyDescent="0.25">
      <c r="C43" s="183">
        <v>37</v>
      </c>
      <c r="D43" s="157" t="s">
        <v>268</v>
      </c>
      <c r="E43" s="158" t="s">
        <v>269</v>
      </c>
      <c r="F43" s="214" t="s">
        <v>102</v>
      </c>
      <c r="G43" s="276" t="s">
        <v>270</v>
      </c>
      <c r="H43" s="214" t="s">
        <v>261</v>
      </c>
      <c r="I43" s="283" t="s">
        <v>574</v>
      </c>
      <c r="J43" s="287" t="s">
        <v>582</v>
      </c>
      <c r="K43" s="157" t="s">
        <v>105</v>
      </c>
      <c r="L43" s="158" t="s">
        <v>106</v>
      </c>
      <c r="M43" s="214" t="s">
        <v>271</v>
      </c>
      <c r="N43" s="156" t="s">
        <v>108</v>
      </c>
      <c r="O43" s="227" t="str">
        <f t="shared" si="66"/>
        <v>Baja</v>
      </c>
      <c r="P43" s="218">
        <f t="shared" si="67"/>
        <v>0.4</v>
      </c>
      <c r="Q43" s="164" t="s">
        <v>248</v>
      </c>
      <c r="R43" s="302" t="str">
        <f ca="1">IF(NOT(ISERROR(MATCH(Q43,_xlfn.ANCHORARRAY(#REF!),0))),#REF!&amp;"Por favor no seleccionar los criterios de impacto",Q43)</f>
        <v xml:space="preserve">     El riesgo afecta la imagen de alguna área de la organización</v>
      </c>
      <c r="S43" s="234" t="str">
        <f ca="1">IF(OR(R43='Tabla Impacto'!$C$11,R43='Tabla Impacto'!$D$11),"Leve",IF(OR(R43='Tabla Impacto'!$C$12,R43='Tabla Impacto'!$D$12),"Menor",IF(OR(R43='Tabla Impacto'!$C$13,R43='Tabla Impacto'!$D$13),"Moderado",IF(OR(R43='Tabla Impacto'!$C$14,R43='Tabla Impacto'!$D$14),"Mayor",IF(OR(R43='Tabla Impacto'!$C$15,R43='Tabla Impacto'!$D$15),"Catastrófico","")))))</f>
        <v>Leve</v>
      </c>
      <c r="T43" s="218">
        <f t="shared" ca="1" si="68"/>
        <v>0.2</v>
      </c>
      <c r="U43" s="259" t="str">
        <f t="shared" ca="1" si="69"/>
        <v>Bajo</v>
      </c>
      <c r="V43" s="183">
        <v>3</v>
      </c>
      <c r="W43" s="158" t="s">
        <v>206</v>
      </c>
      <c r="X43" s="183" t="s">
        <v>111</v>
      </c>
      <c r="Y43" s="240" t="s">
        <v>164</v>
      </c>
      <c r="Z43" s="209" t="str">
        <f t="shared" si="70"/>
        <v>50%</v>
      </c>
      <c r="AA43" s="209" t="s">
        <v>113</v>
      </c>
      <c r="AB43" s="209" t="s">
        <v>148</v>
      </c>
      <c r="AC43" s="235" t="s">
        <v>115</v>
      </c>
      <c r="AD43" s="199">
        <f>IFERROR(IF(AND(AE42="Probabilidad",AE43="Probabilidad"),(AK42-(+AK42*Z43)),IF(AND(AE42="Impacto",AE43="Probabilidad"),(Z42-(+Z42*Z43)),IF(AE43="Impacto",AE42,""))),"")</f>
        <v>0.06</v>
      </c>
      <c r="AE43" s="210" t="str">
        <f t="shared" si="62"/>
        <v>Probabilidad</v>
      </c>
      <c r="AF43" s="200" t="s">
        <v>199</v>
      </c>
      <c r="AG43" s="168" t="s">
        <v>200</v>
      </c>
      <c r="AH43" s="200" t="s">
        <v>167</v>
      </c>
      <c r="AI43" s="267" t="s">
        <v>134</v>
      </c>
      <c r="AJ43" s="246" t="str">
        <f t="shared" si="63"/>
        <v>Muy Baja</v>
      </c>
      <c r="AK43" s="247">
        <f t="shared" si="64"/>
        <v>0.06</v>
      </c>
      <c r="AL43" s="227" t="str">
        <f t="shared" si="65"/>
        <v>Leve</v>
      </c>
      <c r="AM43" s="247">
        <f>IFERROR(IF(AND(AE42="Impacto",AE43="Impacto"),(AM42-(+AM42*Z43)),IF(AND(AE42="Probabilidad",AE43="Impacto"),(AM41-(+AM41*Z43)),IF(AE43="Probabilidad",AM42,""))),"")</f>
        <v>0.2</v>
      </c>
      <c r="AN43" s="259"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Bajo</v>
      </c>
      <c r="AO43" s="228" t="s">
        <v>190</v>
      </c>
      <c r="AP43" s="245" t="s">
        <v>191</v>
      </c>
      <c r="AQ43" s="245" t="s">
        <v>191</v>
      </c>
      <c r="AR43" s="214" t="s">
        <v>192</v>
      </c>
      <c r="AS43" s="214" t="s">
        <v>193</v>
      </c>
      <c r="AT43" s="214" t="s">
        <v>193</v>
      </c>
      <c r="AU43" s="245" t="s">
        <v>134</v>
      </c>
      <c r="AV43" s="245" t="s">
        <v>134</v>
      </c>
      <c r="AW43" s="245" t="s">
        <v>134</v>
      </c>
      <c r="AX43" s="245" t="s">
        <v>134</v>
      </c>
      <c r="AY43" s="167"/>
    </row>
    <row r="44" spans="3:51" x14ac:dyDescent="0.2">
      <c r="AK44" s="167"/>
    </row>
    <row r="52" spans="42:45" ht="15.75" thickBot="1" x14ac:dyDescent="0.25"/>
    <row r="53" spans="42:45" ht="16.5" customHeight="1" thickBot="1" x14ac:dyDescent="0.25">
      <c r="AP53" s="298" t="s">
        <v>587</v>
      </c>
      <c r="AQ53" s="299"/>
      <c r="AR53" s="299"/>
      <c r="AS53" s="300"/>
    </row>
    <row r="54" spans="42:45" ht="15.75" thickBot="1" x14ac:dyDescent="0.25">
      <c r="AP54" s="288" t="s">
        <v>588</v>
      </c>
      <c r="AQ54" s="289" t="s">
        <v>589</v>
      </c>
      <c r="AR54" s="290" t="s">
        <v>590</v>
      </c>
      <c r="AS54" s="289" t="s">
        <v>594</v>
      </c>
    </row>
    <row r="55" spans="42:45" ht="75.75" thickBot="1" x14ac:dyDescent="0.25">
      <c r="AP55" s="291" t="s">
        <v>591</v>
      </c>
      <c r="AQ55" s="289" t="s">
        <v>592</v>
      </c>
      <c r="AR55" s="292" t="s">
        <v>593</v>
      </c>
      <c r="AS55" s="289" t="s">
        <v>595</v>
      </c>
    </row>
  </sheetData>
  <dataConsolidate/>
  <mergeCells count="13">
    <mergeCell ref="AP53:AS53"/>
    <mergeCell ref="R41:R43"/>
    <mergeCell ref="R36:R39"/>
    <mergeCell ref="R34:R35"/>
    <mergeCell ref="R17:R19"/>
    <mergeCell ref="R30:R32"/>
    <mergeCell ref="R26:R29"/>
    <mergeCell ref="R22:R25"/>
    <mergeCell ref="R20:R21"/>
    <mergeCell ref="R12:R14"/>
    <mergeCell ref="R15:R16"/>
    <mergeCell ref="R10:R11"/>
    <mergeCell ref="R8:R9"/>
  </mergeCells>
  <conditionalFormatting sqref="O7 O19">
    <cfRule type="cellIs" dxfId="585" priority="1329" operator="equal">
      <formula>"Muy Alta"</formula>
    </cfRule>
    <cfRule type="cellIs" dxfId="584" priority="1330" operator="equal">
      <formula>"Alta"</formula>
    </cfRule>
    <cfRule type="cellIs" dxfId="583" priority="1331" operator="equal">
      <formula>"Media"</formula>
    </cfRule>
    <cfRule type="cellIs" dxfId="582" priority="1332" operator="equal">
      <formula>"Baja"</formula>
    </cfRule>
    <cfRule type="cellIs" dxfId="581" priority="1333" operator="equal">
      <formula>"Muy Baja"</formula>
    </cfRule>
  </conditionalFormatting>
  <conditionalFormatting sqref="S7:S8 S10 S12 S15 S22 S26 AL8:AL32 S17:S20">
    <cfRule type="cellIs" dxfId="580" priority="1324" operator="equal">
      <formula>"Catastrófico"</formula>
    </cfRule>
    <cfRule type="cellIs" dxfId="579" priority="1325" operator="equal">
      <formula>"Mayor"</formula>
    </cfRule>
    <cfRule type="cellIs" dxfId="578" priority="1326" operator="equal">
      <formula>"Moderado"</formula>
    </cfRule>
    <cfRule type="cellIs" dxfId="577" priority="1327" operator="equal">
      <formula>"Menor"</formula>
    </cfRule>
    <cfRule type="cellIs" dxfId="576" priority="1328" operator="equal">
      <formula>"Leve"</formula>
    </cfRule>
  </conditionalFormatting>
  <conditionalFormatting sqref="U7 U18:U19">
    <cfRule type="cellIs" dxfId="575" priority="1320" operator="equal">
      <formula>"Extremo"</formula>
    </cfRule>
    <cfRule type="cellIs" dxfId="574" priority="1321" operator="equal">
      <formula>"Alto"</formula>
    </cfRule>
    <cfRule type="cellIs" dxfId="573" priority="1322" operator="equal">
      <formula>"Moderado"</formula>
    </cfRule>
    <cfRule type="cellIs" dxfId="572" priority="1323" operator="equal">
      <formula>"Bajo"</formula>
    </cfRule>
  </conditionalFormatting>
  <conditionalFormatting sqref="AL7">
    <cfRule type="cellIs" dxfId="571" priority="1310" operator="equal">
      <formula>"Catastrófico"</formula>
    </cfRule>
    <cfRule type="cellIs" dxfId="570" priority="1311" operator="equal">
      <formula>"Mayor"</formula>
    </cfRule>
    <cfRule type="cellIs" dxfId="569" priority="1312" operator="equal">
      <formula>"Moderado"</formula>
    </cfRule>
    <cfRule type="cellIs" dxfId="568" priority="1313" operator="equal">
      <formula>"Menor"</formula>
    </cfRule>
    <cfRule type="cellIs" dxfId="567" priority="1314" operator="equal">
      <formula>"Leve"</formula>
    </cfRule>
  </conditionalFormatting>
  <conditionalFormatting sqref="AN7">
    <cfRule type="cellIs" dxfId="566" priority="1306" operator="equal">
      <formula>"Extremo"</formula>
    </cfRule>
    <cfRule type="cellIs" dxfId="565" priority="1307" operator="equal">
      <formula>"Alto"</formula>
    </cfRule>
    <cfRule type="cellIs" dxfId="564" priority="1308" operator="equal">
      <formula>"Moderado"</formula>
    </cfRule>
    <cfRule type="cellIs" dxfId="563" priority="1309" operator="equal">
      <formula>"Bajo"</formula>
    </cfRule>
  </conditionalFormatting>
  <conditionalFormatting sqref="U8">
    <cfRule type="cellIs" dxfId="562" priority="1250" operator="equal">
      <formula>"Extremo"</formula>
    </cfRule>
    <cfRule type="cellIs" dxfId="561" priority="1251" operator="equal">
      <formula>"Alto"</formula>
    </cfRule>
    <cfRule type="cellIs" dxfId="560" priority="1252" operator="equal">
      <formula>"Moderado"</formula>
    </cfRule>
    <cfRule type="cellIs" dxfId="559" priority="1253" operator="equal">
      <formula>"Bajo"</formula>
    </cfRule>
  </conditionalFormatting>
  <conditionalFormatting sqref="U10">
    <cfRule type="cellIs" dxfId="558" priority="1222" operator="equal">
      <formula>"Extremo"</formula>
    </cfRule>
    <cfRule type="cellIs" dxfId="557" priority="1223" operator="equal">
      <formula>"Alto"</formula>
    </cfRule>
    <cfRule type="cellIs" dxfId="556" priority="1224" operator="equal">
      <formula>"Moderado"</formula>
    </cfRule>
    <cfRule type="cellIs" dxfId="555" priority="1225" operator="equal">
      <formula>"Bajo"</formula>
    </cfRule>
  </conditionalFormatting>
  <conditionalFormatting sqref="AL10:AL11">
    <cfRule type="cellIs" dxfId="554" priority="1212" operator="equal">
      <formula>"Catastrófico"</formula>
    </cfRule>
    <cfRule type="cellIs" dxfId="553" priority="1213" operator="equal">
      <formula>"Mayor"</formula>
    </cfRule>
    <cfRule type="cellIs" dxfId="552" priority="1214" operator="equal">
      <formula>"Moderado"</formula>
    </cfRule>
    <cfRule type="cellIs" dxfId="551" priority="1215" operator="equal">
      <formula>"Menor"</formula>
    </cfRule>
    <cfRule type="cellIs" dxfId="550" priority="1216" operator="equal">
      <formula>"Leve"</formula>
    </cfRule>
  </conditionalFormatting>
  <conditionalFormatting sqref="U12">
    <cfRule type="cellIs" dxfId="549" priority="1194" operator="equal">
      <formula>"Extremo"</formula>
    </cfRule>
    <cfRule type="cellIs" dxfId="548" priority="1195" operator="equal">
      <formula>"Alto"</formula>
    </cfRule>
    <cfRule type="cellIs" dxfId="547" priority="1196" operator="equal">
      <formula>"Moderado"</formula>
    </cfRule>
    <cfRule type="cellIs" dxfId="546" priority="1197" operator="equal">
      <formula>"Bajo"</formula>
    </cfRule>
  </conditionalFormatting>
  <conditionalFormatting sqref="AL12:AL14">
    <cfRule type="cellIs" dxfId="545" priority="1184" operator="equal">
      <formula>"Catastrófico"</formula>
    </cfRule>
    <cfRule type="cellIs" dxfId="544" priority="1185" operator="equal">
      <formula>"Mayor"</formula>
    </cfRule>
    <cfRule type="cellIs" dxfId="543" priority="1186" operator="equal">
      <formula>"Moderado"</formula>
    </cfRule>
    <cfRule type="cellIs" dxfId="542" priority="1187" operator="equal">
      <formula>"Menor"</formula>
    </cfRule>
    <cfRule type="cellIs" dxfId="541" priority="1188" operator="equal">
      <formula>"Leve"</formula>
    </cfRule>
  </conditionalFormatting>
  <conditionalFormatting sqref="U15">
    <cfRule type="cellIs" dxfId="540" priority="1166" operator="equal">
      <formula>"Extremo"</formula>
    </cfRule>
    <cfRule type="cellIs" dxfId="539" priority="1167" operator="equal">
      <formula>"Alto"</formula>
    </cfRule>
    <cfRule type="cellIs" dxfId="538" priority="1168" operator="equal">
      <formula>"Moderado"</formula>
    </cfRule>
    <cfRule type="cellIs" dxfId="537" priority="1169" operator="equal">
      <formula>"Bajo"</formula>
    </cfRule>
  </conditionalFormatting>
  <conditionalFormatting sqref="AL15:AL16">
    <cfRule type="cellIs" dxfId="536" priority="1156" operator="equal">
      <formula>"Catastrófico"</formula>
    </cfRule>
    <cfRule type="cellIs" dxfId="535" priority="1157" operator="equal">
      <formula>"Mayor"</formula>
    </cfRule>
    <cfRule type="cellIs" dxfId="534" priority="1158" operator="equal">
      <formula>"Moderado"</formula>
    </cfRule>
    <cfRule type="cellIs" dxfId="533" priority="1159" operator="equal">
      <formula>"Menor"</formula>
    </cfRule>
    <cfRule type="cellIs" dxfId="532" priority="1160" operator="equal">
      <formula>"Leve"</formula>
    </cfRule>
  </conditionalFormatting>
  <conditionalFormatting sqref="U17">
    <cfRule type="cellIs" dxfId="531" priority="1138" operator="equal">
      <formula>"Extremo"</formula>
    </cfRule>
    <cfRule type="cellIs" dxfId="530" priority="1139" operator="equal">
      <formula>"Alto"</formula>
    </cfRule>
    <cfRule type="cellIs" dxfId="529" priority="1140" operator="equal">
      <formula>"Moderado"</formula>
    </cfRule>
    <cfRule type="cellIs" dxfId="528" priority="1141" operator="equal">
      <formula>"Bajo"</formula>
    </cfRule>
  </conditionalFormatting>
  <conditionalFormatting sqref="U20">
    <cfRule type="cellIs" dxfId="527" priority="1110" operator="equal">
      <formula>"Extremo"</formula>
    </cfRule>
    <cfRule type="cellIs" dxfId="526" priority="1111" operator="equal">
      <formula>"Alto"</formula>
    </cfRule>
    <cfRule type="cellIs" dxfId="525" priority="1112" operator="equal">
      <formula>"Moderado"</formula>
    </cfRule>
    <cfRule type="cellIs" dxfId="524" priority="1113" operator="equal">
      <formula>"Bajo"</formula>
    </cfRule>
  </conditionalFormatting>
  <conditionalFormatting sqref="AL20:AL21">
    <cfRule type="cellIs" dxfId="523" priority="1100" operator="equal">
      <formula>"Catastrófico"</formula>
    </cfRule>
    <cfRule type="cellIs" dxfId="522" priority="1101" operator="equal">
      <formula>"Mayor"</formula>
    </cfRule>
    <cfRule type="cellIs" dxfId="521" priority="1102" operator="equal">
      <formula>"Moderado"</formula>
    </cfRule>
    <cfRule type="cellIs" dxfId="520" priority="1103" operator="equal">
      <formula>"Menor"</formula>
    </cfRule>
    <cfRule type="cellIs" dxfId="519" priority="1104" operator="equal">
      <formula>"Leve"</formula>
    </cfRule>
  </conditionalFormatting>
  <conditionalFormatting sqref="U22">
    <cfRule type="cellIs" dxfId="518" priority="1082" operator="equal">
      <formula>"Extremo"</formula>
    </cfRule>
    <cfRule type="cellIs" dxfId="517" priority="1083" operator="equal">
      <formula>"Alto"</formula>
    </cfRule>
    <cfRule type="cellIs" dxfId="516" priority="1084" operator="equal">
      <formula>"Moderado"</formula>
    </cfRule>
    <cfRule type="cellIs" dxfId="515" priority="1085" operator="equal">
      <formula>"Bajo"</formula>
    </cfRule>
  </conditionalFormatting>
  <conditionalFormatting sqref="AL22:AL25">
    <cfRule type="cellIs" dxfId="514" priority="1072" operator="equal">
      <formula>"Catastrófico"</formula>
    </cfRule>
    <cfRule type="cellIs" dxfId="513" priority="1073" operator="equal">
      <formula>"Mayor"</formula>
    </cfRule>
    <cfRule type="cellIs" dxfId="512" priority="1074" operator="equal">
      <formula>"Moderado"</formula>
    </cfRule>
    <cfRule type="cellIs" dxfId="511" priority="1075" operator="equal">
      <formula>"Menor"</formula>
    </cfRule>
    <cfRule type="cellIs" dxfId="510" priority="1076" operator="equal">
      <formula>"Leve"</formula>
    </cfRule>
  </conditionalFormatting>
  <conditionalFormatting sqref="U26">
    <cfRule type="cellIs" dxfId="509" priority="1054" operator="equal">
      <formula>"Extremo"</formula>
    </cfRule>
    <cfRule type="cellIs" dxfId="508" priority="1055" operator="equal">
      <formula>"Alto"</formula>
    </cfRule>
    <cfRule type="cellIs" dxfId="507" priority="1056" operator="equal">
      <formula>"Moderado"</formula>
    </cfRule>
    <cfRule type="cellIs" dxfId="506" priority="1057" operator="equal">
      <formula>"Bajo"</formula>
    </cfRule>
  </conditionalFormatting>
  <conditionalFormatting sqref="AL26:AL29">
    <cfRule type="cellIs" dxfId="505" priority="1044" operator="equal">
      <formula>"Catastrófico"</formula>
    </cfRule>
    <cfRule type="cellIs" dxfId="504" priority="1045" operator="equal">
      <formula>"Mayor"</formula>
    </cfRule>
    <cfRule type="cellIs" dxfId="503" priority="1046" operator="equal">
      <formula>"Moderado"</formula>
    </cfRule>
    <cfRule type="cellIs" dxfId="502" priority="1047" operator="equal">
      <formula>"Menor"</formula>
    </cfRule>
    <cfRule type="cellIs" dxfId="501" priority="1048" operator="equal">
      <formula>"Leve"</formula>
    </cfRule>
  </conditionalFormatting>
  <conditionalFormatting sqref="R7:R32">
    <cfRule type="containsText" dxfId="500" priority="1011" operator="containsText" text="❌">
      <formula>NOT(ISERROR(SEARCH("❌",R7)))</formula>
    </cfRule>
  </conditionalFormatting>
  <conditionalFormatting sqref="O8">
    <cfRule type="cellIs" dxfId="499" priority="1002" operator="equal">
      <formula>"Muy Alta"</formula>
    </cfRule>
    <cfRule type="cellIs" dxfId="498" priority="1003" operator="equal">
      <formula>"Alta"</formula>
    </cfRule>
    <cfRule type="cellIs" dxfId="497" priority="1004" operator="equal">
      <formula>"Media"</formula>
    </cfRule>
    <cfRule type="cellIs" dxfId="496" priority="1005" operator="equal">
      <formula>"Baja"</formula>
    </cfRule>
    <cfRule type="cellIs" dxfId="495" priority="1006" operator="equal">
      <formula>"Muy Baja"</formula>
    </cfRule>
  </conditionalFormatting>
  <conditionalFormatting sqref="O10">
    <cfRule type="cellIs" dxfId="494" priority="997" operator="equal">
      <formula>"Muy Alta"</formula>
    </cfRule>
    <cfRule type="cellIs" dxfId="493" priority="998" operator="equal">
      <formula>"Alta"</formula>
    </cfRule>
    <cfRule type="cellIs" dxfId="492" priority="999" operator="equal">
      <formula>"Media"</formula>
    </cfRule>
    <cfRule type="cellIs" dxfId="491" priority="1000" operator="equal">
      <formula>"Baja"</formula>
    </cfRule>
    <cfRule type="cellIs" dxfId="490" priority="1001" operator="equal">
      <formula>"Muy Baja"</formula>
    </cfRule>
  </conditionalFormatting>
  <conditionalFormatting sqref="O12">
    <cfRule type="cellIs" dxfId="489" priority="992" operator="equal">
      <formula>"Muy Alta"</formula>
    </cfRule>
    <cfRule type="cellIs" dxfId="488" priority="993" operator="equal">
      <formula>"Alta"</formula>
    </cfRule>
    <cfRule type="cellIs" dxfId="487" priority="994" operator="equal">
      <formula>"Media"</formula>
    </cfRule>
    <cfRule type="cellIs" dxfId="486" priority="995" operator="equal">
      <formula>"Baja"</formula>
    </cfRule>
    <cfRule type="cellIs" dxfId="485" priority="996" operator="equal">
      <formula>"Muy Baja"</formula>
    </cfRule>
  </conditionalFormatting>
  <conditionalFormatting sqref="O15">
    <cfRule type="cellIs" dxfId="484" priority="987" operator="equal">
      <formula>"Muy Alta"</formula>
    </cfRule>
    <cfRule type="cellIs" dxfId="483" priority="988" operator="equal">
      <formula>"Alta"</formula>
    </cfRule>
    <cfRule type="cellIs" dxfId="482" priority="989" operator="equal">
      <formula>"Media"</formula>
    </cfRule>
    <cfRule type="cellIs" dxfId="481" priority="990" operator="equal">
      <formula>"Baja"</formula>
    </cfRule>
    <cfRule type="cellIs" dxfId="480" priority="991" operator="equal">
      <formula>"Muy Baja"</formula>
    </cfRule>
  </conditionalFormatting>
  <conditionalFormatting sqref="O17">
    <cfRule type="cellIs" dxfId="479" priority="982" operator="equal">
      <formula>"Muy Alta"</formula>
    </cfRule>
    <cfRule type="cellIs" dxfId="478" priority="983" operator="equal">
      <formula>"Alta"</formula>
    </cfRule>
    <cfRule type="cellIs" dxfId="477" priority="984" operator="equal">
      <formula>"Media"</formula>
    </cfRule>
    <cfRule type="cellIs" dxfId="476" priority="985" operator="equal">
      <formula>"Baja"</formula>
    </cfRule>
    <cfRule type="cellIs" dxfId="475" priority="986" operator="equal">
      <formula>"Muy Baja"</formula>
    </cfRule>
  </conditionalFormatting>
  <conditionalFormatting sqref="O20">
    <cfRule type="cellIs" dxfId="474" priority="977" operator="equal">
      <formula>"Muy Alta"</formula>
    </cfRule>
    <cfRule type="cellIs" dxfId="473" priority="978" operator="equal">
      <formula>"Alta"</formula>
    </cfRule>
    <cfRule type="cellIs" dxfId="472" priority="979" operator="equal">
      <formula>"Media"</formula>
    </cfRule>
    <cfRule type="cellIs" dxfId="471" priority="980" operator="equal">
      <formula>"Baja"</formula>
    </cfRule>
    <cfRule type="cellIs" dxfId="470" priority="981" operator="equal">
      <formula>"Muy Baja"</formula>
    </cfRule>
  </conditionalFormatting>
  <conditionalFormatting sqref="O22">
    <cfRule type="cellIs" dxfId="469" priority="967" operator="equal">
      <formula>"Muy Alta"</formula>
    </cfRule>
    <cfRule type="cellIs" dxfId="468" priority="968" operator="equal">
      <formula>"Alta"</formula>
    </cfRule>
    <cfRule type="cellIs" dxfId="467" priority="969" operator="equal">
      <formula>"Media"</formula>
    </cfRule>
    <cfRule type="cellIs" dxfId="466" priority="970" operator="equal">
      <formula>"Baja"</formula>
    </cfRule>
    <cfRule type="cellIs" dxfId="465" priority="971" operator="equal">
      <formula>"Muy Baja"</formula>
    </cfRule>
  </conditionalFormatting>
  <conditionalFormatting sqref="O26">
    <cfRule type="cellIs" dxfId="464" priority="962" operator="equal">
      <formula>"Muy Alta"</formula>
    </cfRule>
    <cfRule type="cellIs" dxfId="463" priority="963" operator="equal">
      <formula>"Alta"</formula>
    </cfRule>
    <cfRule type="cellIs" dxfId="462" priority="964" operator="equal">
      <formula>"Media"</formula>
    </cfRule>
    <cfRule type="cellIs" dxfId="461" priority="965" operator="equal">
      <formula>"Baja"</formula>
    </cfRule>
    <cfRule type="cellIs" dxfId="460" priority="966" operator="equal">
      <formula>"Muy Baja"</formula>
    </cfRule>
  </conditionalFormatting>
  <conditionalFormatting sqref="AL8:AL9">
    <cfRule type="cellIs" dxfId="459" priority="911" operator="equal">
      <formula>"Catastrófico"</formula>
    </cfRule>
    <cfRule type="cellIs" dxfId="458" priority="912" operator="equal">
      <formula>"Mayor"</formula>
    </cfRule>
    <cfRule type="cellIs" dxfId="457" priority="913" operator="equal">
      <formula>"Moderado"</formula>
    </cfRule>
    <cfRule type="cellIs" dxfId="456" priority="914" operator="equal">
      <formula>"Menor"</formula>
    </cfRule>
    <cfRule type="cellIs" dxfId="455" priority="915" operator="equal">
      <formula>"Leve"</formula>
    </cfRule>
  </conditionalFormatting>
  <conditionalFormatting sqref="AN8">
    <cfRule type="cellIs" dxfId="454" priority="890" operator="equal">
      <formula>"Extremo"</formula>
    </cfRule>
    <cfRule type="cellIs" dxfId="453" priority="891" operator="equal">
      <formula>"Alto"</formula>
    </cfRule>
    <cfRule type="cellIs" dxfId="452" priority="892" operator="equal">
      <formula>"Moderado"</formula>
    </cfRule>
    <cfRule type="cellIs" dxfId="451" priority="893" operator="equal">
      <formula>"Bajo"</formula>
    </cfRule>
  </conditionalFormatting>
  <conditionalFormatting sqref="AN9">
    <cfRule type="cellIs" dxfId="450" priority="886" operator="equal">
      <formula>"Extremo"</formula>
    </cfRule>
    <cfRule type="cellIs" dxfId="449" priority="887" operator="equal">
      <formula>"Alto"</formula>
    </cfRule>
    <cfRule type="cellIs" dxfId="448" priority="888" operator="equal">
      <formula>"Moderado"</formula>
    </cfRule>
    <cfRule type="cellIs" dxfId="447" priority="889" operator="equal">
      <formula>"Bajo"</formula>
    </cfRule>
  </conditionalFormatting>
  <conditionalFormatting sqref="AN10">
    <cfRule type="cellIs" dxfId="446" priority="878" operator="equal">
      <formula>"Extremo"</formula>
    </cfRule>
    <cfRule type="cellIs" dxfId="445" priority="879" operator="equal">
      <formula>"Alto"</formula>
    </cfRule>
    <cfRule type="cellIs" dxfId="444" priority="880" operator="equal">
      <formula>"Moderado"</formula>
    </cfRule>
    <cfRule type="cellIs" dxfId="443" priority="881" operator="equal">
      <formula>"Bajo"</formula>
    </cfRule>
  </conditionalFormatting>
  <conditionalFormatting sqref="AN11">
    <cfRule type="cellIs" dxfId="442" priority="874" operator="equal">
      <formula>"Extremo"</formula>
    </cfRule>
    <cfRule type="cellIs" dxfId="441" priority="875" operator="equal">
      <formula>"Alto"</formula>
    </cfRule>
    <cfRule type="cellIs" dxfId="440" priority="876" operator="equal">
      <formula>"Moderado"</formula>
    </cfRule>
    <cfRule type="cellIs" dxfId="439" priority="877" operator="equal">
      <formula>"Bajo"</formula>
    </cfRule>
  </conditionalFormatting>
  <conditionalFormatting sqref="AN12">
    <cfRule type="cellIs" dxfId="438" priority="866" operator="equal">
      <formula>"Extremo"</formula>
    </cfRule>
    <cfRule type="cellIs" dxfId="437" priority="867" operator="equal">
      <formula>"Alto"</formula>
    </cfRule>
    <cfRule type="cellIs" dxfId="436" priority="868" operator="equal">
      <formula>"Moderado"</formula>
    </cfRule>
    <cfRule type="cellIs" dxfId="435" priority="869" operator="equal">
      <formula>"Bajo"</formula>
    </cfRule>
  </conditionalFormatting>
  <conditionalFormatting sqref="AN13">
    <cfRule type="cellIs" dxfId="434" priority="862" operator="equal">
      <formula>"Extremo"</formula>
    </cfRule>
    <cfRule type="cellIs" dxfId="433" priority="863" operator="equal">
      <formula>"Alto"</formula>
    </cfRule>
    <cfRule type="cellIs" dxfId="432" priority="864" operator="equal">
      <formula>"Moderado"</formula>
    </cfRule>
    <cfRule type="cellIs" dxfId="431" priority="865" operator="equal">
      <formula>"Bajo"</formula>
    </cfRule>
  </conditionalFormatting>
  <conditionalFormatting sqref="AN14">
    <cfRule type="cellIs" dxfId="430" priority="858" operator="equal">
      <formula>"Extremo"</formula>
    </cfRule>
    <cfRule type="cellIs" dxfId="429" priority="859" operator="equal">
      <formula>"Alto"</formula>
    </cfRule>
    <cfRule type="cellIs" dxfId="428" priority="860" operator="equal">
      <formula>"Moderado"</formula>
    </cfRule>
    <cfRule type="cellIs" dxfId="427" priority="861" operator="equal">
      <formula>"Bajo"</formula>
    </cfRule>
  </conditionalFormatting>
  <conditionalFormatting sqref="AN15">
    <cfRule type="cellIs" dxfId="426" priority="854" operator="equal">
      <formula>"Extremo"</formula>
    </cfRule>
    <cfRule type="cellIs" dxfId="425" priority="855" operator="equal">
      <formula>"Alto"</formula>
    </cfRule>
    <cfRule type="cellIs" dxfId="424" priority="856" operator="equal">
      <formula>"Moderado"</formula>
    </cfRule>
    <cfRule type="cellIs" dxfId="423" priority="857" operator="equal">
      <formula>"Bajo"</formula>
    </cfRule>
  </conditionalFormatting>
  <conditionalFormatting sqref="AN16">
    <cfRule type="cellIs" dxfId="422" priority="850" operator="equal">
      <formula>"Extremo"</formula>
    </cfRule>
    <cfRule type="cellIs" dxfId="421" priority="851" operator="equal">
      <formula>"Alto"</formula>
    </cfRule>
    <cfRule type="cellIs" dxfId="420" priority="852" operator="equal">
      <formula>"Moderado"</formula>
    </cfRule>
    <cfRule type="cellIs" dxfId="419" priority="853" operator="equal">
      <formula>"Bajo"</formula>
    </cfRule>
  </conditionalFormatting>
  <conditionalFormatting sqref="AN17 AN19">
    <cfRule type="cellIs" dxfId="418" priority="842" operator="equal">
      <formula>"Extremo"</formula>
    </cfRule>
    <cfRule type="cellIs" dxfId="417" priority="843" operator="equal">
      <formula>"Alto"</formula>
    </cfRule>
    <cfRule type="cellIs" dxfId="416" priority="844" operator="equal">
      <formula>"Moderado"</formula>
    </cfRule>
    <cfRule type="cellIs" dxfId="415" priority="845" operator="equal">
      <formula>"Bajo"</formula>
    </cfRule>
  </conditionalFormatting>
  <conditionalFormatting sqref="AN18:AN19">
    <cfRule type="cellIs" dxfId="414" priority="838" operator="equal">
      <formula>"Extremo"</formula>
    </cfRule>
    <cfRule type="cellIs" dxfId="413" priority="839" operator="equal">
      <formula>"Alto"</formula>
    </cfRule>
    <cfRule type="cellIs" dxfId="412" priority="840" operator="equal">
      <formula>"Moderado"</formula>
    </cfRule>
    <cfRule type="cellIs" dxfId="411" priority="841" operator="equal">
      <formula>"Bajo"</formula>
    </cfRule>
  </conditionalFormatting>
  <conditionalFormatting sqref="AN20">
    <cfRule type="cellIs" dxfId="410" priority="830" operator="equal">
      <formula>"Extremo"</formula>
    </cfRule>
    <cfRule type="cellIs" dxfId="409" priority="831" operator="equal">
      <formula>"Alto"</formula>
    </cfRule>
    <cfRule type="cellIs" dxfId="408" priority="832" operator="equal">
      <formula>"Moderado"</formula>
    </cfRule>
    <cfRule type="cellIs" dxfId="407" priority="833" operator="equal">
      <formula>"Bajo"</formula>
    </cfRule>
  </conditionalFormatting>
  <conditionalFormatting sqref="AN21">
    <cfRule type="cellIs" dxfId="406" priority="826" operator="equal">
      <formula>"Extremo"</formula>
    </cfRule>
    <cfRule type="cellIs" dxfId="405" priority="827" operator="equal">
      <formula>"Alto"</formula>
    </cfRule>
    <cfRule type="cellIs" dxfId="404" priority="828" operator="equal">
      <formula>"Moderado"</formula>
    </cfRule>
    <cfRule type="cellIs" dxfId="403" priority="829" operator="equal">
      <formula>"Bajo"</formula>
    </cfRule>
  </conditionalFormatting>
  <conditionalFormatting sqref="AN22 AN25">
    <cfRule type="cellIs" dxfId="402" priority="818" operator="equal">
      <formula>"Extremo"</formula>
    </cfRule>
    <cfRule type="cellIs" dxfId="401" priority="819" operator="equal">
      <formula>"Alto"</formula>
    </cfRule>
    <cfRule type="cellIs" dxfId="400" priority="820" operator="equal">
      <formula>"Moderado"</formula>
    </cfRule>
    <cfRule type="cellIs" dxfId="399" priority="821" operator="equal">
      <formula>"Bajo"</formula>
    </cfRule>
  </conditionalFormatting>
  <conditionalFormatting sqref="AN23 AN25">
    <cfRule type="cellIs" dxfId="398" priority="814" operator="equal">
      <formula>"Extremo"</formula>
    </cfRule>
    <cfRule type="cellIs" dxfId="397" priority="815" operator="equal">
      <formula>"Alto"</formula>
    </cfRule>
    <cfRule type="cellIs" dxfId="396" priority="816" operator="equal">
      <formula>"Moderado"</formula>
    </cfRule>
    <cfRule type="cellIs" dxfId="395" priority="817" operator="equal">
      <formula>"Bajo"</formula>
    </cfRule>
  </conditionalFormatting>
  <conditionalFormatting sqref="AN24">
    <cfRule type="cellIs" dxfId="394" priority="810" operator="equal">
      <formula>"Extremo"</formula>
    </cfRule>
    <cfRule type="cellIs" dxfId="393" priority="811" operator="equal">
      <formula>"Alto"</formula>
    </cfRule>
    <cfRule type="cellIs" dxfId="392" priority="812" operator="equal">
      <formula>"Moderado"</formula>
    </cfRule>
    <cfRule type="cellIs" dxfId="391" priority="813" operator="equal">
      <formula>"Bajo"</formula>
    </cfRule>
  </conditionalFormatting>
  <conditionalFormatting sqref="AN26 AN29">
    <cfRule type="cellIs" dxfId="390" priority="806" operator="equal">
      <formula>"Extremo"</formula>
    </cfRule>
    <cfRule type="cellIs" dxfId="389" priority="807" operator="equal">
      <formula>"Alto"</formula>
    </cfRule>
    <cfRule type="cellIs" dxfId="388" priority="808" operator="equal">
      <formula>"Moderado"</formula>
    </cfRule>
    <cfRule type="cellIs" dxfId="387" priority="809" operator="equal">
      <formula>"Bajo"</formula>
    </cfRule>
  </conditionalFormatting>
  <conditionalFormatting sqref="AN27 AN29">
    <cfRule type="cellIs" dxfId="386" priority="802" operator="equal">
      <formula>"Extremo"</formula>
    </cfRule>
    <cfRule type="cellIs" dxfId="385" priority="803" operator="equal">
      <formula>"Alto"</formula>
    </cfRule>
    <cfRule type="cellIs" dxfId="384" priority="804" operator="equal">
      <formula>"Moderado"</formula>
    </cfRule>
    <cfRule type="cellIs" dxfId="383" priority="805" operator="equal">
      <formula>"Bajo"</formula>
    </cfRule>
  </conditionalFormatting>
  <conditionalFormatting sqref="AN28">
    <cfRule type="cellIs" dxfId="382" priority="798" operator="equal">
      <formula>"Extremo"</formula>
    </cfRule>
    <cfRule type="cellIs" dxfId="381" priority="799" operator="equal">
      <formula>"Alto"</formula>
    </cfRule>
    <cfRule type="cellIs" dxfId="380" priority="800" operator="equal">
      <formula>"Moderado"</formula>
    </cfRule>
    <cfRule type="cellIs" dxfId="379" priority="801" operator="equal">
      <formula>"Bajo"</formula>
    </cfRule>
  </conditionalFormatting>
  <conditionalFormatting sqref="S30">
    <cfRule type="cellIs" dxfId="378" priority="781" operator="equal">
      <formula>"Catastrófico"</formula>
    </cfRule>
    <cfRule type="cellIs" dxfId="377" priority="782" operator="equal">
      <formula>"Mayor"</formula>
    </cfRule>
    <cfRule type="cellIs" dxfId="376" priority="783" operator="equal">
      <formula>"Moderado"</formula>
    </cfRule>
    <cfRule type="cellIs" dxfId="375" priority="784" operator="equal">
      <formula>"Menor"</formula>
    </cfRule>
    <cfRule type="cellIs" dxfId="374" priority="785" operator="equal">
      <formula>"Leve"</formula>
    </cfRule>
  </conditionalFormatting>
  <conditionalFormatting sqref="U30">
    <cfRule type="cellIs" dxfId="373" priority="772" operator="equal">
      <formula>"Extremo"</formula>
    </cfRule>
    <cfRule type="cellIs" dxfId="372" priority="773" operator="equal">
      <formula>"Alto"</formula>
    </cfRule>
    <cfRule type="cellIs" dxfId="371" priority="774" operator="equal">
      <formula>"Moderado"</formula>
    </cfRule>
    <cfRule type="cellIs" dxfId="370" priority="775" operator="equal">
      <formula>"Bajo"</formula>
    </cfRule>
  </conditionalFormatting>
  <conditionalFormatting sqref="O30">
    <cfRule type="cellIs" dxfId="369" priority="756" operator="equal">
      <formula>"Muy Alta"</formula>
    </cfRule>
    <cfRule type="cellIs" dxfId="368" priority="757" operator="equal">
      <formula>"Alta"</formula>
    </cfRule>
    <cfRule type="cellIs" dxfId="367" priority="758" operator="equal">
      <formula>"Media"</formula>
    </cfRule>
    <cfRule type="cellIs" dxfId="366" priority="759" operator="equal">
      <formula>"Baja"</formula>
    </cfRule>
    <cfRule type="cellIs" dxfId="365" priority="760" operator="equal">
      <formula>"Muy Baja"</formula>
    </cfRule>
  </conditionalFormatting>
  <conditionalFormatting sqref="AN30">
    <cfRule type="cellIs" dxfId="364" priority="752" operator="equal">
      <formula>"Extremo"</formula>
    </cfRule>
    <cfRule type="cellIs" dxfId="363" priority="753" operator="equal">
      <formula>"Alto"</formula>
    </cfRule>
    <cfRule type="cellIs" dxfId="362" priority="754" operator="equal">
      <formula>"Moderado"</formula>
    </cfRule>
    <cfRule type="cellIs" dxfId="361" priority="755" operator="equal">
      <formula>"Bajo"</formula>
    </cfRule>
  </conditionalFormatting>
  <conditionalFormatting sqref="AN31">
    <cfRule type="cellIs" dxfId="360" priority="748" operator="equal">
      <formula>"Extremo"</formula>
    </cfRule>
    <cfRule type="cellIs" dxfId="359" priority="749" operator="equal">
      <formula>"Alto"</formula>
    </cfRule>
    <cfRule type="cellIs" dxfId="358" priority="750" operator="equal">
      <formula>"Moderado"</formula>
    </cfRule>
    <cfRule type="cellIs" dxfId="357" priority="751" operator="equal">
      <formula>"Bajo"</formula>
    </cfRule>
  </conditionalFormatting>
  <conditionalFormatting sqref="AN32">
    <cfRule type="cellIs" dxfId="356" priority="744" operator="equal">
      <formula>"Extremo"</formula>
    </cfRule>
    <cfRule type="cellIs" dxfId="355" priority="745" operator="equal">
      <formula>"Alto"</formula>
    </cfRule>
    <cfRule type="cellIs" dxfId="354" priority="746" operator="equal">
      <formula>"Moderado"</formula>
    </cfRule>
    <cfRule type="cellIs" dxfId="353" priority="747" operator="equal">
      <formula>"Bajo"</formula>
    </cfRule>
  </conditionalFormatting>
  <conditionalFormatting sqref="S33">
    <cfRule type="cellIs" dxfId="352" priority="571" operator="equal">
      <formula>"Catastrófico"</formula>
    </cfRule>
    <cfRule type="cellIs" dxfId="351" priority="572" operator="equal">
      <formula>"Mayor"</formula>
    </cfRule>
    <cfRule type="cellIs" dxfId="350" priority="573" operator="equal">
      <formula>"Moderado"</formula>
    </cfRule>
    <cfRule type="cellIs" dxfId="349" priority="574" operator="equal">
      <formula>"Menor"</formula>
    </cfRule>
    <cfRule type="cellIs" dxfId="348" priority="575" operator="equal">
      <formula>"Leve"</formula>
    </cfRule>
  </conditionalFormatting>
  <conditionalFormatting sqref="AL33">
    <cfRule type="cellIs" dxfId="347" priority="566" operator="equal">
      <formula>"Catastrófico"</formula>
    </cfRule>
    <cfRule type="cellIs" dxfId="346" priority="567" operator="equal">
      <formula>"Mayor"</formula>
    </cfRule>
    <cfRule type="cellIs" dxfId="345" priority="568" operator="equal">
      <formula>"Moderado"</formula>
    </cfRule>
    <cfRule type="cellIs" dxfId="344" priority="569" operator="equal">
      <formula>"Menor"</formula>
    </cfRule>
    <cfRule type="cellIs" dxfId="343" priority="570" operator="equal">
      <formula>"Leve"</formula>
    </cfRule>
  </conditionalFormatting>
  <conditionalFormatting sqref="U33">
    <cfRule type="cellIs" dxfId="342" priority="562" operator="equal">
      <formula>"Extremo"</formula>
    </cfRule>
    <cfRule type="cellIs" dxfId="341" priority="563" operator="equal">
      <formula>"Alto"</formula>
    </cfRule>
    <cfRule type="cellIs" dxfId="340" priority="564" operator="equal">
      <formula>"Moderado"</formula>
    </cfRule>
    <cfRule type="cellIs" dxfId="339" priority="565" operator="equal">
      <formula>"Bajo"</formula>
    </cfRule>
  </conditionalFormatting>
  <conditionalFormatting sqref="AL33">
    <cfRule type="cellIs" dxfId="338" priority="552" operator="equal">
      <formula>"Catastrófico"</formula>
    </cfRule>
    <cfRule type="cellIs" dxfId="337" priority="553" operator="equal">
      <formula>"Mayor"</formula>
    </cfRule>
    <cfRule type="cellIs" dxfId="336" priority="554" operator="equal">
      <formula>"Moderado"</formula>
    </cfRule>
    <cfRule type="cellIs" dxfId="335" priority="555" operator="equal">
      <formula>"Menor"</formula>
    </cfRule>
    <cfRule type="cellIs" dxfId="334" priority="556" operator="equal">
      <formula>"Leve"</formula>
    </cfRule>
  </conditionalFormatting>
  <conditionalFormatting sqref="R33">
    <cfRule type="containsText" dxfId="333" priority="551" operator="containsText" text="❌">
      <formula>NOT(ISERROR(SEARCH("❌",R33)))</formula>
    </cfRule>
  </conditionalFormatting>
  <conditionalFormatting sqref="O33">
    <cfRule type="cellIs" dxfId="332" priority="546" operator="equal">
      <formula>"Muy Alta"</formula>
    </cfRule>
    <cfRule type="cellIs" dxfId="331" priority="547" operator="equal">
      <formula>"Alta"</formula>
    </cfRule>
    <cfRule type="cellIs" dxfId="330" priority="548" operator="equal">
      <formula>"Media"</formula>
    </cfRule>
    <cfRule type="cellIs" dxfId="329" priority="549" operator="equal">
      <formula>"Baja"</formula>
    </cfRule>
    <cfRule type="cellIs" dxfId="328" priority="550" operator="equal">
      <formula>"Muy Baja"</formula>
    </cfRule>
  </conditionalFormatting>
  <conditionalFormatting sqref="AN33">
    <cfRule type="cellIs" dxfId="327" priority="542" operator="equal">
      <formula>"Extremo"</formula>
    </cfRule>
    <cfRule type="cellIs" dxfId="326" priority="543" operator="equal">
      <formula>"Alto"</formula>
    </cfRule>
    <cfRule type="cellIs" dxfId="325" priority="544" operator="equal">
      <formula>"Moderado"</formula>
    </cfRule>
    <cfRule type="cellIs" dxfId="324" priority="545" operator="equal">
      <formula>"Bajo"</formula>
    </cfRule>
  </conditionalFormatting>
  <conditionalFormatting sqref="S34">
    <cfRule type="cellIs" dxfId="323" priority="529" operator="equal">
      <formula>"Catastrófico"</formula>
    </cfRule>
    <cfRule type="cellIs" dxfId="322" priority="530" operator="equal">
      <formula>"Mayor"</formula>
    </cfRule>
    <cfRule type="cellIs" dxfId="321" priority="531" operator="equal">
      <formula>"Moderado"</formula>
    </cfRule>
    <cfRule type="cellIs" dxfId="320" priority="532" operator="equal">
      <formula>"Menor"</formula>
    </cfRule>
    <cfRule type="cellIs" dxfId="319" priority="533" operator="equal">
      <formula>"Leve"</formula>
    </cfRule>
  </conditionalFormatting>
  <conditionalFormatting sqref="AL34:AL35">
    <cfRule type="cellIs" dxfId="318" priority="524" operator="equal">
      <formula>"Catastrófico"</formula>
    </cfRule>
    <cfRule type="cellIs" dxfId="317" priority="525" operator="equal">
      <formula>"Mayor"</formula>
    </cfRule>
    <cfRule type="cellIs" dxfId="316" priority="526" operator="equal">
      <formula>"Moderado"</formula>
    </cfRule>
    <cfRule type="cellIs" dxfId="315" priority="527" operator="equal">
      <formula>"Menor"</formula>
    </cfRule>
    <cfRule type="cellIs" dxfId="314" priority="528" operator="equal">
      <formula>"Leve"</formula>
    </cfRule>
  </conditionalFormatting>
  <conditionalFormatting sqref="U34">
    <cfRule type="cellIs" dxfId="313" priority="520" operator="equal">
      <formula>"Extremo"</formula>
    </cfRule>
    <cfRule type="cellIs" dxfId="312" priority="521" operator="equal">
      <formula>"Alto"</formula>
    </cfRule>
    <cfRule type="cellIs" dxfId="311" priority="522" operator="equal">
      <formula>"Moderado"</formula>
    </cfRule>
    <cfRule type="cellIs" dxfId="310" priority="523" operator="equal">
      <formula>"Bajo"</formula>
    </cfRule>
  </conditionalFormatting>
  <conditionalFormatting sqref="AL34:AL35">
    <cfRule type="cellIs" dxfId="309" priority="510" operator="equal">
      <formula>"Catastrófico"</formula>
    </cfRule>
    <cfRule type="cellIs" dxfId="308" priority="511" operator="equal">
      <formula>"Mayor"</formula>
    </cfRule>
    <cfRule type="cellIs" dxfId="307" priority="512" operator="equal">
      <formula>"Moderado"</formula>
    </cfRule>
    <cfRule type="cellIs" dxfId="306" priority="513" operator="equal">
      <formula>"Menor"</formula>
    </cfRule>
    <cfRule type="cellIs" dxfId="305" priority="514" operator="equal">
      <formula>"Leve"</formula>
    </cfRule>
  </conditionalFormatting>
  <conditionalFormatting sqref="R34:R35">
    <cfRule type="containsText" dxfId="304" priority="509" operator="containsText" text="❌">
      <formula>NOT(ISERROR(SEARCH("❌",R34)))</formula>
    </cfRule>
  </conditionalFormatting>
  <conditionalFormatting sqref="O34">
    <cfRule type="cellIs" dxfId="303" priority="504" operator="equal">
      <formula>"Muy Alta"</formula>
    </cfRule>
    <cfRule type="cellIs" dxfId="302" priority="505" operator="equal">
      <formula>"Alta"</formula>
    </cfRule>
    <cfRule type="cellIs" dxfId="301" priority="506" operator="equal">
      <formula>"Media"</formula>
    </cfRule>
    <cfRule type="cellIs" dxfId="300" priority="507" operator="equal">
      <formula>"Baja"</formula>
    </cfRule>
    <cfRule type="cellIs" dxfId="299" priority="508" operator="equal">
      <formula>"Muy Baja"</formula>
    </cfRule>
  </conditionalFormatting>
  <conditionalFormatting sqref="AN34">
    <cfRule type="cellIs" dxfId="298" priority="500" operator="equal">
      <formula>"Extremo"</formula>
    </cfRule>
    <cfRule type="cellIs" dxfId="297" priority="501" operator="equal">
      <formula>"Alto"</formula>
    </cfRule>
    <cfRule type="cellIs" dxfId="296" priority="502" operator="equal">
      <formula>"Moderado"</formula>
    </cfRule>
    <cfRule type="cellIs" dxfId="295" priority="503" operator="equal">
      <formula>"Bajo"</formula>
    </cfRule>
  </conditionalFormatting>
  <conditionalFormatting sqref="AN35">
    <cfRule type="cellIs" dxfId="294" priority="496" operator="equal">
      <formula>"Extremo"</formula>
    </cfRule>
    <cfRule type="cellIs" dxfId="293" priority="497" operator="equal">
      <formula>"Alto"</formula>
    </cfRule>
    <cfRule type="cellIs" dxfId="292" priority="498" operator="equal">
      <formula>"Moderado"</formula>
    </cfRule>
    <cfRule type="cellIs" dxfId="291" priority="499" operator="equal">
      <formula>"Bajo"</formula>
    </cfRule>
  </conditionalFormatting>
  <conditionalFormatting sqref="S36">
    <cfRule type="cellIs" dxfId="290" priority="487" operator="equal">
      <formula>"Catastrófico"</formula>
    </cfRule>
    <cfRule type="cellIs" dxfId="289" priority="488" operator="equal">
      <formula>"Mayor"</formula>
    </cfRule>
    <cfRule type="cellIs" dxfId="288" priority="489" operator="equal">
      <formula>"Moderado"</formula>
    </cfRule>
    <cfRule type="cellIs" dxfId="287" priority="490" operator="equal">
      <formula>"Menor"</formula>
    </cfRule>
    <cfRule type="cellIs" dxfId="286" priority="491" operator="equal">
      <formula>"Leve"</formula>
    </cfRule>
  </conditionalFormatting>
  <conditionalFormatting sqref="AL36:AL39">
    <cfRule type="cellIs" dxfId="285" priority="482" operator="equal">
      <formula>"Catastrófico"</formula>
    </cfRule>
    <cfRule type="cellIs" dxfId="284" priority="483" operator="equal">
      <formula>"Mayor"</formula>
    </cfRule>
    <cfRule type="cellIs" dxfId="283" priority="484" operator="equal">
      <formula>"Moderado"</formula>
    </cfRule>
    <cfRule type="cellIs" dxfId="282" priority="485" operator="equal">
      <formula>"Menor"</formula>
    </cfRule>
    <cfRule type="cellIs" dxfId="281" priority="486" operator="equal">
      <formula>"Leve"</formula>
    </cfRule>
  </conditionalFormatting>
  <conditionalFormatting sqref="U36:U39">
    <cfRule type="cellIs" dxfId="280" priority="478" operator="equal">
      <formula>"Extremo"</formula>
    </cfRule>
    <cfRule type="cellIs" dxfId="279" priority="479" operator="equal">
      <formula>"Alto"</formula>
    </cfRule>
    <cfRule type="cellIs" dxfId="278" priority="480" operator="equal">
      <formula>"Moderado"</formula>
    </cfRule>
    <cfRule type="cellIs" dxfId="277" priority="481" operator="equal">
      <formula>"Bajo"</formula>
    </cfRule>
  </conditionalFormatting>
  <conditionalFormatting sqref="AL36:AL39">
    <cfRule type="cellIs" dxfId="276" priority="468" operator="equal">
      <formula>"Catastrófico"</formula>
    </cfRule>
    <cfRule type="cellIs" dxfId="275" priority="469" operator="equal">
      <formula>"Mayor"</formula>
    </cfRule>
    <cfRule type="cellIs" dxfId="274" priority="470" operator="equal">
      <formula>"Moderado"</formula>
    </cfRule>
    <cfRule type="cellIs" dxfId="273" priority="471" operator="equal">
      <formula>"Menor"</formula>
    </cfRule>
    <cfRule type="cellIs" dxfId="272" priority="472" operator="equal">
      <formula>"Leve"</formula>
    </cfRule>
  </conditionalFormatting>
  <conditionalFormatting sqref="R36:R39">
    <cfRule type="containsText" dxfId="271" priority="467" operator="containsText" text="❌">
      <formula>NOT(ISERROR(SEARCH("❌",R36)))</formula>
    </cfRule>
  </conditionalFormatting>
  <conditionalFormatting sqref="O36">
    <cfRule type="cellIs" dxfId="270" priority="462" operator="equal">
      <formula>"Muy Alta"</formula>
    </cfRule>
    <cfRule type="cellIs" dxfId="269" priority="463" operator="equal">
      <formula>"Alta"</formula>
    </cfRule>
    <cfRule type="cellIs" dxfId="268" priority="464" operator="equal">
      <formula>"Media"</formula>
    </cfRule>
    <cfRule type="cellIs" dxfId="267" priority="465" operator="equal">
      <formula>"Baja"</formula>
    </cfRule>
    <cfRule type="cellIs" dxfId="266" priority="466" operator="equal">
      <formula>"Muy Baja"</formula>
    </cfRule>
  </conditionalFormatting>
  <conditionalFormatting sqref="AN36 AN39">
    <cfRule type="cellIs" dxfId="265" priority="458" operator="equal">
      <formula>"Extremo"</formula>
    </cfRule>
    <cfRule type="cellIs" dxfId="264" priority="459" operator="equal">
      <formula>"Alto"</formula>
    </cfRule>
    <cfRule type="cellIs" dxfId="263" priority="460" operator="equal">
      <formula>"Moderado"</formula>
    </cfRule>
    <cfRule type="cellIs" dxfId="262" priority="461" operator="equal">
      <formula>"Bajo"</formula>
    </cfRule>
  </conditionalFormatting>
  <conditionalFormatting sqref="AN37 AN39">
    <cfRule type="cellIs" dxfId="261" priority="454" operator="equal">
      <formula>"Extremo"</formula>
    </cfRule>
    <cfRule type="cellIs" dxfId="260" priority="455" operator="equal">
      <formula>"Alto"</formula>
    </cfRule>
    <cfRule type="cellIs" dxfId="259" priority="456" operator="equal">
      <formula>"Moderado"</formula>
    </cfRule>
    <cfRule type="cellIs" dxfId="258" priority="457" operator="equal">
      <formula>"Bajo"</formula>
    </cfRule>
  </conditionalFormatting>
  <conditionalFormatting sqref="AN38">
    <cfRule type="cellIs" dxfId="257" priority="450" operator="equal">
      <formula>"Extremo"</formula>
    </cfRule>
    <cfRule type="cellIs" dxfId="256" priority="451" operator="equal">
      <formula>"Alto"</formula>
    </cfRule>
    <cfRule type="cellIs" dxfId="255" priority="452" operator="equal">
      <formula>"Moderado"</formula>
    </cfRule>
    <cfRule type="cellIs" dxfId="254" priority="453" operator="equal">
      <formula>"Bajo"</formula>
    </cfRule>
  </conditionalFormatting>
  <conditionalFormatting sqref="S40">
    <cfRule type="cellIs" dxfId="253" priority="319" operator="equal">
      <formula>"Catastrófico"</formula>
    </cfRule>
    <cfRule type="cellIs" dxfId="252" priority="320" operator="equal">
      <formula>"Mayor"</formula>
    </cfRule>
    <cfRule type="cellIs" dxfId="251" priority="321" operator="equal">
      <formula>"Moderado"</formula>
    </cfRule>
    <cfRule type="cellIs" dxfId="250" priority="322" operator="equal">
      <formula>"Menor"</formula>
    </cfRule>
    <cfRule type="cellIs" dxfId="249" priority="323" operator="equal">
      <formula>"Leve"</formula>
    </cfRule>
  </conditionalFormatting>
  <conditionalFormatting sqref="AL40">
    <cfRule type="cellIs" dxfId="248" priority="314" operator="equal">
      <formula>"Catastrófico"</formula>
    </cfRule>
    <cfRule type="cellIs" dxfId="247" priority="315" operator="equal">
      <formula>"Mayor"</formula>
    </cfRule>
    <cfRule type="cellIs" dxfId="246" priority="316" operator="equal">
      <formula>"Moderado"</formula>
    </cfRule>
    <cfRule type="cellIs" dxfId="245" priority="317" operator="equal">
      <formula>"Menor"</formula>
    </cfRule>
    <cfRule type="cellIs" dxfId="244" priority="318" operator="equal">
      <formula>"Leve"</formula>
    </cfRule>
  </conditionalFormatting>
  <conditionalFormatting sqref="U40">
    <cfRule type="cellIs" dxfId="243" priority="310" operator="equal">
      <formula>"Extremo"</formula>
    </cfRule>
    <cfRule type="cellIs" dxfId="242" priority="311" operator="equal">
      <formula>"Alto"</formula>
    </cfRule>
    <cfRule type="cellIs" dxfId="241" priority="312" operator="equal">
      <formula>"Moderado"</formula>
    </cfRule>
    <cfRule type="cellIs" dxfId="240" priority="313" operator="equal">
      <formula>"Bajo"</formula>
    </cfRule>
  </conditionalFormatting>
  <conditionalFormatting sqref="AL40">
    <cfRule type="cellIs" dxfId="239" priority="300" operator="equal">
      <formula>"Catastrófico"</formula>
    </cfRule>
    <cfRule type="cellIs" dxfId="238" priority="301" operator="equal">
      <formula>"Mayor"</formula>
    </cfRule>
    <cfRule type="cellIs" dxfId="237" priority="302" operator="equal">
      <formula>"Moderado"</formula>
    </cfRule>
    <cfRule type="cellIs" dxfId="236" priority="303" operator="equal">
      <formula>"Menor"</formula>
    </cfRule>
    <cfRule type="cellIs" dxfId="235" priority="304" operator="equal">
      <formula>"Leve"</formula>
    </cfRule>
  </conditionalFormatting>
  <conditionalFormatting sqref="R40">
    <cfRule type="containsText" dxfId="234" priority="299" operator="containsText" text="❌">
      <formula>NOT(ISERROR(SEARCH("❌",R40)))</formula>
    </cfRule>
  </conditionalFormatting>
  <conditionalFormatting sqref="O40">
    <cfRule type="cellIs" dxfId="233" priority="294" operator="equal">
      <formula>"Muy Alta"</formula>
    </cfRule>
    <cfRule type="cellIs" dxfId="232" priority="295" operator="equal">
      <formula>"Alta"</formula>
    </cfRule>
    <cfRule type="cellIs" dxfId="231" priority="296" operator="equal">
      <formula>"Media"</formula>
    </cfRule>
    <cfRule type="cellIs" dxfId="230" priority="297" operator="equal">
      <formula>"Baja"</formula>
    </cfRule>
    <cfRule type="cellIs" dxfId="229" priority="298" operator="equal">
      <formula>"Muy Baja"</formula>
    </cfRule>
  </conditionalFormatting>
  <conditionalFormatting sqref="AN40">
    <cfRule type="cellIs" dxfId="228" priority="290" operator="equal">
      <formula>"Extremo"</formula>
    </cfRule>
    <cfRule type="cellIs" dxfId="227" priority="291" operator="equal">
      <formula>"Alto"</formula>
    </cfRule>
    <cfRule type="cellIs" dxfId="226" priority="292" operator="equal">
      <formula>"Moderado"</formula>
    </cfRule>
    <cfRule type="cellIs" dxfId="225" priority="293" operator="equal">
      <formula>"Bajo"</formula>
    </cfRule>
  </conditionalFormatting>
  <conditionalFormatting sqref="S41:S43">
    <cfRule type="cellIs" dxfId="224" priority="235" operator="equal">
      <formula>"Catastrófico"</formula>
    </cfRule>
    <cfRule type="cellIs" dxfId="223" priority="236" operator="equal">
      <formula>"Mayor"</formula>
    </cfRule>
    <cfRule type="cellIs" dxfId="222" priority="237" operator="equal">
      <formula>"Moderado"</formula>
    </cfRule>
    <cfRule type="cellIs" dxfId="221" priority="238" operator="equal">
      <formula>"Menor"</formula>
    </cfRule>
    <cfRule type="cellIs" dxfId="220" priority="239" operator="equal">
      <formula>"Leve"</formula>
    </cfRule>
  </conditionalFormatting>
  <conditionalFormatting sqref="AL41:AL43">
    <cfRule type="cellIs" dxfId="219" priority="230" operator="equal">
      <formula>"Catastrófico"</formula>
    </cfRule>
    <cfRule type="cellIs" dxfId="218" priority="231" operator="equal">
      <formula>"Mayor"</formula>
    </cfRule>
    <cfRule type="cellIs" dxfId="217" priority="232" operator="equal">
      <formula>"Moderado"</formula>
    </cfRule>
    <cfRule type="cellIs" dxfId="216" priority="233" operator="equal">
      <formula>"Menor"</formula>
    </cfRule>
    <cfRule type="cellIs" dxfId="215" priority="234" operator="equal">
      <formula>"Leve"</formula>
    </cfRule>
  </conditionalFormatting>
  <conditionalFormatting sqref="U41:U43">
    <cfRule type="cellIs" dxfId="214" priority="226" operator="equal">
      <formula>"Extremo"</formula>
    </cfRule>
    <cfRule type="cellIs" dxfId="213" priority="227" operator="equal">
      <formula>"Alto"</formula>
    </cfRule>
    <cfRule type="cellIs" dxfId="212" priority="228" operator="equal">
      <formula>"Moderado"</formula>
    </cfRule>
    <cfRule type="cellIs" dxfId="211" priority="229" operator="equal">
      <formula>"Bajo"</formula>
    </cfRule>
  </conditionalFormatting>
  <conditionalFormatting sqref="AJ43">
    <cfRule type="cellIs" dxfId="210" priority="221" operator="equal">
      <formula>"Muy Alta"</formula>
    </cfRule>
    <cfRule type="cellIs" dxfId="209" priority="222" operator="equal">
      <formula>"Alta"</formula>
    </cfRule>
    <cfRule type="cellIs" dxfId="208" priority="223" operator="equal">
      <formula>"Media"</formula>
    </cfRule>
    <cfRule type="cellIs" dxfId="207" priority="224" operator="equal">
      <formula>"Baja"</formula>
    </cfRule>
    <cfRule type="cellIs" dxfId="206" priority="225" operator="equal">
      <formula>"Muy Baja"</formula>
    </cfRule>
  </conditionalFormatting>
  <conditionalFormatting sqref="AL41:AL43">
    <cfRule type="cellIs" dxfId="205" priority="216" operator="equal">
      <formula>"Catastrófico"</formula>
    </cfRule>
    <cfRule type="cellIs" dxfId="204" priority="217" operator="equal">
      <formula>"Mayor"</formula>
    </cfRule>
    <cfRule type="cellIs" dxfId="203" priority="218" operator="equal">
      <formula>"Moderado"</formula>
    </cfRule>
    <cfRule type="cellIs" dxfId="202" priority="219" operator="equal">
      <formula>"Menor"</formula>
    </cfRule>
    <cfRule type="cellIs" dxfId="201" priority="220" operator="equal">
      <formula>"Leve"</formula>
    </cfRule>
  </conditionalFormatting>
  <conditionalFormatting sqref="R41:R43">
    <cfRule type="containsText" dxfId="200" priority="215" operator="containsText" text="❌">
      <formula>NOT(ISERROR(SEARCH("❌",R41)))</formula>
    </cfRule>
  </conditionalFormatting>
  <conditionalFormatting sqref="O41:O43">
    <cfRule type="cellIs" dxfId="199" priority="210" operator="equal">
      <formula>"Muy Alta"</formula>
    </cfRule>
    <cfRule type="cellIs" dxfId="198" priority="211" operator="equal">
      <formula>"Alta"</formula>
    </cfRule>
    <cfRule type="cellIs" dxfId="197" priority="212" operator="equal">
      <formula>"Media"</formula>
    </cfRule>
    <cfRule type="cellIs" dxfId="196" priority="213" operator="equal">
      <formula>"Baja"</formula>
    </cfRule>
    <cfRule type="cellIs" dxfId="195" priority="214" operator="equal">
      <formula>"Muy Baja"</formula>
    </cfRule>
  </conditionalFormatting>
  <conditionalFormatting sqref="AN41">
    <cfRule type="cellIs" dxfId="194" priority="206" operator="equal">
      <formula>"Extremo"</formula>
    </cfRule>
    <cfRule type="cellIs" dxfId="193" priority="207" operator="equal">
      <formula>"Alto"</formula>
    </cfRule>
    <cfRule type="cellIs" dxfId="192" priority="208" operator="equal">
      <formula>"Moderado"</formula>
    </cfRule>
    <cfRule type="cellIs" dxfId="191" priority="209" operator="equal">
      <formula>"Bajo"</formula>
    </cfRule>
  </conditionalFormatting>
  <conditionalFormatting sqref="AN42">
    <cfRule type="cellIs" dxfId="190" priority="202" operator="equal">
      <formula>"Extremo"</formula>
    </cfRule>
    <cfRule type="cellIs" dxfId="189" priority="203" operator="equal">
      <formula>"Alto"</formula>
    </cfRule>
    <cfRule type="cellIs" dxfId="188" priority="204" operator="equal">
      <formula>"Moderado"</formula>
    </cfRule>
    <cfRule type="cellIs" dxfId="187" priority="205" operator="equal">
      <formula>"Bajo"</formula>
    </cfRule>
  </conditionalFormatting>
  <conditionalFormatting sqref="AN43">
    <cfRule type="cellIs" dxfId="186" priority="198" operator="equal">
      <formula>"Extremo"</formula>
    </cfRule>
    <cfRule type="cellIs" dxfId="185" priority="199" operator="equal">
      <formula>"Alto"</formula>
    </cfRule>
    <cfRule type="cellIs" dxfId="184" priority="200" operator="equal">
      <formula>"Moderado"</formula>
    </cfRule>
    <cfRule type="cellIs" dxfId="183" priority="201" operator="equal">
      <formula>"Bajo"</formula>
    </cfRule>
  </conditionalFormatting>
  <conditionalFormatting sqref="O9">
    <cfRule type="cellIs" dxfId="182" priority="193" operator="equal">
      <formula>"Muy Alta"</formula>
    </cfRule>
    <cfRule type="cellIs" dxfId="181" priority="194" operator="equal">
      <formula>"Alta"</formula>
    </cfRule>
    <cfRule type="cellIs" dxfId="180" priority="195" operator="equal">
      <formula>"Media"</formula>
    </cfRule>
    <cfRule type="cellIs" dxfId="179" priority="196" operator="equal">
      <formula>"Baja"</formula>
    </cfRule>
    <cfRule type="cellIs" dxfId="178" priority="197" operator="equal">
      <formula>"Muy Baja"</formula>
    </cfRule>
  </conditionalFormatting>
  <conditionalFormatting sqref="S9">
    <cfRule type="cellIs" dxfId="177" priority="188" operator="equal">
      <formula>"Catastrófico"</formula>
    </cfRule>
    <cfRule type="cellIs" dxfId="176" priority="189" operator="equal">
      <formula>"Mayor"</formula>
    </cfRule>
    <cfRule type="cellIs" dxfId="175" priority="190" operator="equal">
      <formula>"Moderado"</formula>
    </cfRule>
    <cfRule type="cellIs" dxfId="174" priority="191" operator="equal">
      <formula>"Menor"</formula>
    </cfRule>
    <cfRule type="cellIs" dxfId="173" priority="192" operator="equal">
      <formula>"Leve"</formula>
    </cfRule>
  </conditionalFormatting>
  <conditionalFormatting sqref="U9">
    <cfRule type="cellIs" dxfId="172" priority="184" operator="equal">
      <formula>"Extremo"</formula>
    </cfRule>
    <cfRule type="cellIs" dxfId="171" priority="185" operator="equal">
      <formula>"Alto"</formula>
    </cfRule>
    <cfRule type="cellIs" dxfId="170" priority="186" operator="equal">
      <formula>"Moderado"</formula>
    </cfRule>
    <cfRule type="cellIs" dxfId="169" priority="187" operator="equal">
      <formula>"Bajo"</formula>
    </cfRule>
  </conditionalFormatting>
  <conditionalFormatting sqref="O11">
    <cfRule type="cellIs" dxfId="168" priority="179" operator="equal">
      <formula>"Muy Alta"</formula>
    </cfRule>
    <cfRule type="cellIs" dxfId="167" priority="180" operator="equal">
      <formula>"Alta"</formula>
    </cfRule>
    <cfRule type="cellIs" dxfId="166" priority="181" operator="equal">
      <formula>"Media"</formula>
    </cfRule>
    <cfRule type="cellIs" dxfId="165" priority="182" operator="equal">
      <formula>"Baja"</formula>
    </cfRule>
    <cfRule type="cellIs" dxfId="164" priority="183" operator="equal">
      <formula>"Muy Baja"</formula>
    </cfRule>
  </conditionalFormatting>
  <conditionalFormatting sqref="S11">
    <cfRule type="cellIs" dxfId="163" priority="174" operator="equal">
      <formula>"Catastrófico"</formula>
    </cfRule>
    <cfRule type="cellIs" dxfId="162" priority="175" operator="equal">
      <formula>"Mayor"</formula>
    </cfRule>
    <cfRule type="cellIs" dxfId="161" priority="176" operator="equal">
      <formula>"Moderado"</formula>
    </cfRule>
    <cfRule type="cellIs" dxfId="160" priority="177" operator="equal">
      <formula>"Menor"</formula>
    </cfRule>
    <cfRule type="cellIs" dxfId="159" priority="178" operator="equal">
      <formula>"Leve"</formula>
    </cfRule>
  </conditionalFormatting>
  <conditionalFormatting sqref="U11">
    <cfRule type="cellIs" dxfId="158" priority="170" operator="equal">
      <formula>"Extremo"</formula>
    </cfRule>
    <cfRule type="cellIs" dxfId="157" priority="171" operator="equal">
      <formula>"Alto"</formula>
    </cfRule>
    <cfRule type="cellIs" dxfId="156" priority="172" operator="equal">
      <formula>"Moderado"</formula>
    </cfRule>
    <cfRule type="cellIs" dxfId="155" priority="173" operator="equal">
      <formula>"Bajo"</formula>
    </cfRule>
  </conditionalFormatting>
  <conditionalFormatting sqref="O13:O14">
    <cfRule type="cellIs" dxfId="154" priority="165" operator="equal">
      <formula>"Muy Alta"</formula>
    </cfRule>
    <cfRule type="cellIs" dxfId="153" priority="166" operator="equal">
      <formula>"Alta"</formula>
    </cfRule>
    <cfRule type="cellIs" dxfId="152" priority="167" operator="equal">
      <formula>"Media"</formula>
    </cfRule>
    <cfRule type="cellIs" dxfId="151" priority="168" operator="equal">
      <formula>"Baja"</formula>
    </cfRule>
    <cfRule type="cellIs" dxfId="150" priority="169" operator="equal">
      <formula>"Muy Baja"</formula>
    </cfRule>
  </conditionalFormatting>
  <conditionalFormatting sqref="S13">
    <cfRule type="cellIs" dxfId="149" priority="160" operator="equal">
      <formula>"Catastrófico"</formula>
    </cfRule>
    <cfRule type="cellIs" dxfId="148" priority="161" operator="equal">
      <formula>"Mayor"</formula>
    </cfRule>
    <cfRule type="cellIs" dxfId="147" priority="162" operator="equal">
      <formula>"Moderado"</formula>
    </cfRule>
    <cfRule type="cellIs" dxfId="146" priority="163" operator="equal">
      <formula>"Menor"</formula>
    </cfRule>
    <cfRule type="cellIs" dxfId="145" priority="164" operator="equal">
      <formula>"Leve"</formula>
    </cfRule>
  </conditionalFormatting>
  <conditionalFormatting sqref="U13">
    <cfRule type="cellIs" dxfId="144" priority="156" operator="equal">
      <formula>"Extremo"</formula>
    </cfRule>
    <cfRule type="cellIs" dxfId="143" priority="157" operator="equal">
      <formula>"Alto"</formula>
    </cfRule>
    <cfRule type="cellIs" dxfId="142" priority="158" operator="equal">
      <formula>"Moderado"</formula>
    </cfRule>
    <cfRule type="cellIs" dxfId="141" priority="159" operator="equal">
      <formula>"Bajo"</formula>
    </cfRule>
  </conditionalFormatting>
  <conditionalFormatting sqref="S14">
    <cfRule type="cellIs" dxfId="140" priority="151" operator="equal">
      <formula>"Catastrófico"</formula>
    </cfRule>
    <cfRule type="cellIs" dxfId="139" priority="152" operator="equal">
      <formula>"Mayor"</formula>
    </cfRule>
    <cfRule type="cellIs" dxfId="138" priority="153" operator="equal">
      <formula>"Moderado"</formula>
    </cfRule>
    <cfRule type="cellIs" dxfId="137" priority="154" operator="equal">
      <formula>"Menor"</formula>
    </cfRule>
    <cfRule type="cellIs" dxfId="136" priority="155" operator="equal">
      <formula>"Leve"</formula>
    </cfRule>
  </conditionalFormatting>
  <conditionalFormatting sqref="U14">
    <cfRule type="cellIs" dxfId="135" priority="147" operator="equal">
      <formula>"Extremo"</formula>
    </cfRule>
    <cfRule type="cellIs" dxfId="134" priority="148" operator="equal">
      <formula>"Alto"</formula>
    </cfRule>
    <cfRule type="cellIs" dxfId="133" priority="149" operator="equal">
      <formula>"Moderado"</formula>
    </cfRule>
    <cfRule type="cellIs" dxfId="132" priority="150" operator="equal">
      <formula>"Bajo"</formula>
    </cfRule>
  </conditionalFormatting>
  <conditionalFormatting sqref="O16">
    <cfRule type="cellIs" dxfId="131" priority="142" operator="equal">
      <formula>"Muy Alta"</formula>
    </cfRule>
    <cfRule type="cellIs" dxfId="130" priority="143" operator="equal">
      <formula>"Alta"</formula>
    </cfRule>
    <cfRule type="cellIs" dxfId="129" priority="144" operator="equal">
      <formula>"Media"</formula>
    </cfRule>
    <cfRule type="cellIs" dxfId="128" priority="145" operator="equal">
      <formula>"Baja"</formula>
    </cfRule>
    <cfRule type="cellIs" dxfId="127" priority="146" operator="equal">
      <formula>"Muy Baja"</formula>
    </cfRule>
  </conditionalFormatting>
  <conditionalFormatting sqref="S16">
    <cfRule type="cellIs" dxfId="126" priority="137" operator="equal">
      <formula>"Catastrófico"</formula>
    </cfRule>
    <cfRule type="cellIs" dxfId="125" priority="138" operator="equal">
      <formula>"Mayor"</formula>
    </cfRule>
    <cfRule type="cellIs" dxfId="124" priority="139" operator="equal">
      <formula>"Moderado"</formula>
    </cfRule>
    <cfRule type="cellIs" dxfId="123" priority="140" operator="equal">
      <formula>"Menor"</formula>
    </cfRule>
    <cfRule type="cellIs" dxfId="122" priority="141" operator="equal">
      <formula>"Leve"</formula>
    </cfRule>
  </conditionalFormatting>
  <conditionalFormatting sqref="U16">
    <cfRule type="cellIs" dxfId="121" priority="133" operator="equal">
      <formula>"Extremo"</formula>
    </cfRule>
    <cfRule type="cellIs" dxfId="120" priority="134" operator="equal">
      <formula>"Alto"</formula>
    </cfRule>
    <cfRule type="cellIs" dxfId="119" priority="135" operator="equal">
      <formula>"Moderado"</formula>
    </cfRule>
    <cfRule type="cellIs" dxfId="118" priority="136" operator="equal">
      <formula>"Bajo"</formula>
    </cfRule>
  </conditionalFormatting>
  <conditionalFormatting sqref="O18">
    <cfRule type="cellIs" dxfId="117" priority="128" operator="equal">
      <formula>"Muy Alta"</formula>
    </cfRule>
    <cfRule type="cellIs" dxfId="116" priority="129" operator="equal">
      <formula>"Alta"</formula>
    </cfRule>
    <cfRule type="cellIs" dxfId="115" priority="130" operator="equal">
      <formula>"Media"</formula>
    </cfRule>
    <cfRule type="cellIs" dxfId="114" priority="131" operator="equal">
      <formula>"Baja"</formula>
    </cfRule>
    <cfRule type="cellIs" dxfId="113" priority="132" operator="equal">
      <formula>"Muy Baja"</formula>
    </cfRule>
  </conditionalFormatting>
  <conditionalFormatting sqref="O21">
    <cfRule type="cellIs" dxfId="112" priority="109" operator="equal">
      <formula>"Muy Alta"</formula>
    </cfRule>
    <cfRule type="cellIs" dxfId="111" priority="110" operator="equal">
      <formula>"Alta"</formula>
    </cfRule>
    <cfRule type="cellIs" dxfId="110" priority="111" operator="equal">
      <formula>"Media"</formula>
    </cfRule>
    <cfRule type="cellIs" dxfId="109" priority="112" operator="equal">
      <formula>"Baja"</formula>
    </cfRule>
    <cfRule type="cellIs" dxfId="108" priority="113" operator="equal">
      <formula>"Muy Baja"</formula>
    </cfRule>
  </conditionalFormatting>
  <conditionalFormatting sqref="S21">
    <cfRule type="cellIs" dxfId="107" priority="104" operator="equal">
      <formula>"Catastrófico"</formula>
    </cfRule>
    <cfRule type="cellIs" dxfId="106" priority="105" operator="equal">
      <formula>"Mayor"</formula>
    </cfRule>
    <cfRule type="cellIs" dxfId="105" priority="106" operator="equal">
      <formula>"Moderado"</formula>
    </cfRule>
    <cfRule type="cellIs" dxfId="104" priority="107" operator="equal">
      <formula>"Menor"</formula>
    </cfRule>
    <cfRule type="cellIs" dxfId="103" priority="108" operator="equal">
      <formula>"Leve"</formula>
    </cfRule>
  </conditionalFormatting>
  <conditionalFormatting sqref="U21">
    <cfRule type="cellIs" dxfId="102" priority="100" operator="equal">
      <formula>"Extremo"</formula>
    </cfRule>
    <cfRule type="cellIs" dxfId="101" priority="101" operator="equal">
      <formula>"Alto"</formula>
    </cfRule>
    <cfRule type="cellIs" dxfId="100" priority="102" operator="equal">
      <formula>"Moderado"</formula>
    </cfRule>
    <cfRule type="cellIs" dxfId="99" priority="103" operator="equal">
      <formula>"Bajo"</formula>
    </cfRule>
  </conditionalFormatting>
  <conditionalFormatting sqref="O23:O25">
    <cfRule type="cellIs" dxfId="98" priority="95" operator="equal">
      <formula>"Muy Alta"</formula>
    </cfRule>
    <cfRule type="cellIs" dxfId="97" priority="96" operator="equal">
      <formula>"Alta"</formula>
    </cfRule>
    <cfRule type="cellIs" dxfId="96" priority="97" operator="equal">
      <formula>"Media"</formula>
    </cfRule>
    <cfRule type="cellIs" dxfId="95" priority="98" operator="equal">
      <formula>"Baja"</formula>
    </cfRule>
    <cfRule type="cellIs" dxfId="94" priority="99" operator="equal">
      <formula>"Muy Baja"</formula>
    </cfRule>
  </conditionalFormatting>
  <conditionalFormatting sqref="S23">
    <cfRule type="cellIs" dxfId="93" priority="90" operator="equal">
      <formula>"Catastrófico"</formula>
    </cfRule>
    <cfRule type="cellIs" dxfId="92" priority="91" operator="equal">
      <formula>"Mayor"</formula>
    </cfRule>
    <cfRule type="cellIs" dxfId="91" priority="92" operator="equal">
      <formula>"Moderado"</formula>
    </cfRule>
    <cfRule type="cellIs" dxfId="90" priority="93" operator="equal">
      <formula>"Menor"</formula>
    </cfRule>
    <cfRule type="cellIs" dxfId="89" priority="94" operator="equal">
      <formula>"Leve"</formula>
    </cfRule>
  </conditionalFormatting>
  <conditionalFormatting sqref="S24">
    <cfRule type="cellIs" dxfId="88" priority="85" operator="equal">
      <formula>"Catastrófico"</formula>
    </cfRule>
    <cfRule type="cellIs" dxfId="87" priority="86" operator="equal">
      <formula>"Mayor"</formula>
    </cfRule>
    <cfRule type="cellIs" dxfId="86" priority="87" operator="equal">
      <formula>"Moderado"</formula>
    </cfRule>
    <cfRule type="cellIs" dxfId="85" priority="88" operator="equal">
      <formula>"Menor"</formula>
    </cfRule>
    <cfRule type="cellIs" dxfId="84" priority="89" operator="equal">
      <formula>"Leve"</formula>
    </cfRule>
  </conditionalFormatting>
  <conditionalFormatting sqref="S25">
    <cfRule type="cellIs" dxfId="83" priority="80" operator="equal">
      <formula>"Catastrófico"</formula>
    </cfRule>
    <cfRule type="cellIs" dxfId="82" priority="81" operator="equal">
      <formula>"Mayor"</formula>
    </cfRule>
    <cfRule type="cellIs" dxfId="81" priority="82" operator="equal">
      <formula>"Moderado"</formula>
    </cfRule>
    <cfRule type="cellIs" dxfId="80" priority="83" operator="equal">
      <formula>"Menor"</formula>
    </cfRule>
    <cfRule type="cellIs" dxfId="79" priority="84" operator="equal">
      <formula>"Leve"</formula>
    </cfRule>
  </conditionalFormatting>
  <conditionalFormatting sqref="U23:U25">
    <cfRule type="cellIs" dxfId="78" priority="76" operator="equal">
      <formula>"Extremo"</formula>
    </cfRule>
    <cfRule type="cellIs" dxfId="77" priority="77" operator="equal">
      <formula>"Alto"</formula>
    </cfRule>
    <cfRule type="cellIs" dxfId="76" priority="78" operator="equal">
      <formula>"Moderado"</formula>
    </cfRule>
    <cfRule type="cellIs" dxfId="75" priority="79" operator="equal">
      <formula>"Bajo"</formula>
    </cfRule>
  </conditionalFormatting>
  <conditionalFormatting sqref="O27:O29">
    <cfRule type="cellIs" dxfId="74" priority="71" operator="equal">
      <formula>"Muy Alta"</formula>
    </cfRule>
    <cfRule type="cellIs" dxfId="73" priority="72" operator="equal">
      <formula>"Alta"</formula>
    </cfRule>
    <cfRule type="cellIs" dxfId="72" priority="73" operator="equal">
      <formula>"Media"</formula>
    </cfRule>
    <cfRule type="cellIs" dxfId="71" priority="74" operator="equal">
      <formula>"Baja"</formula>
    </cfRule>
    <cfRule type="cellIs" dxfId="70" priority="75" operator="equal">
      <formula>"Muy Baja"</formula>
    </cfRule>
  </conditionalFormatting>
  <conditionalFormatting sqref="S27">
    <cfRule type="cellIs" dxfId="69" priority="66" operator="equal">
      <formula>"Catastrófico"</formula>
    </cfRule>
    <cfRule type="cellIs" dxfId="68" priority="67" operator="equal">
      <formula>"Mayor"</formula>
    </cfRule>
    <cfRule type="cellIs" dxfId="67" priority="68" operator="equal">
      <formula>"Moderado"</formula>
    </cfRule>
    <cfRule type="cellIs" dxfId="66" priority="69" operator="equal">
      <formula>"Menor"</formula>
    </cfRule>
    <cfRule type="cellIs" dxfId="65" priority="70" operator="equal">
      <formula>"Leve"</formula>
    </cfRule>
  </conditionalFormatting>
  <conditionalFormatting sqref="S28">
    <cfRule type="cellIs" dxfId="64" priority="61" operator="equal">
      <formula>"Catastrófico"</formula>
    </cfRule>
    <cfRule type="cellIs" dxfId="63" priority="62" operator="equal">
      <formula>"Mayor"</formula>
    </cfRule>
    <cfRule type="cellIs" dxfId="62" priority="63" operator="equal">
      <formula>"Moderado"</formula>
    </cfRule>
    <cfRule type="cellIs" dxfId="61" priority="64" operator="equal">
      <formula>"Menor"</formula>
    </cfRule>
    <cfRule type="cellIs" dxfId="60" priority="65" operator="equal">
      <formula>"Leve"</formula>
    </cfRule>
  </conditionalFormatting>
  <conditionalFormatting sqref="S29">
    <cfRule type="cellIs" dxfId="59" priority="56" operator="equal">
      <formula>"Catastrófico"</formula>
    </cfRule>
    <cfRule type="cellIs" dxfId="58" priority="57" operator="equal">
      <formula>"Mayor"</formula>
    </cfRule>
    <cfRule type="cellIs" dxfId="57" priority="58" operator="equal">
      <formula>"Moderado"</formula>
    </cfRule>
    <cfRule type="cellIs" dxfId="56" priority="59" operator="equal">
      <formula>"Menor"</formula>
    </cfRule>
    <cfRule type="cellIs" dxfId="55" priority="60" operator="equal">
      <formula>"Leve"</formula>
    </cfRule>
  </conditionalFormatting>
  <conditionalFormatting sqref="U27">
    <cfRule type="cellIs" dxfId="54" priority="52" operator="equal">
      <formula>"Extremo"</formula>
    </cfRule>
    <cfRule type="cellIs" dxfId="53" priority="53" operator="equal">
      <formula>"Alto"</formula>
    </cfRule>
    <cfRule type="cellIs" dxfId="52" priority="54" operator="equal">
      <formula>"Moderado"</formula>
    </cfRule>
    <cfRule type="cellIs" dxfId="51" priority="55" operator="equal">
      <formula>"Bajo"</formula>
    </cfRule>
  </conditionalFormatting>
  <conditionalFormatting sqref="U28">
    <cfRule type="cellIs" dxfId="50" priority="48" operator="equal">
      <formula>"Extremo"</formula>
    </cfRule>
    <cfRule type="cellIs" dxfId="49" priority="49" operator="equal">
      <formula>"Alto"</formula>
    </cfRule>
    <cfRule type="cellIs" dxfId="48" priority="50" operator="equal">
      <formula>"Moderado"</formula>
    </cfRule>
    <cfRule type="cellIs" dxfId="47" priority="51" operator="equal">
      <formula>"Bajo"</formula>
    </cfRule>
  </conditionalFormatting>
  <conditionalFormatting sqref="U29">
    <cfRule type="cellIs" dxfId="46" priority="44" operator="equal">
      <formula>"Extremo"</formula>
    </cfRule>
    <cfRule type="cellIs" dxfId="45" priority="45" operator="equal">
      <formula>"Alto"</formula>
    </cfRule>
    <cfRule type="cellIs" dxfId="44" priority="46" operator="equal">
      <formula>"Moderado"</formula>
    </cfRule>
    <cfRule type="cellIs" dxfId="43" priority="47" operator="equal">
      <formula>"Bajo"</formula>
    </cfRule>
  </conditionalFormatting>
  <conditionalFormatting sqref="O31:O32">
    <cfRule type="cellIs" dxfId="42" priority="39" operator="equal">
      <formula>"Muy Alta"</formula>
    </cfRule>
    <cfRule type="cellIs" dxfId="41" priority="40" operator="equal">
      <formula>"Alta"</formula>
    </cfRule>
    <cfRule type="cellIs" dxfId="40" priority="41" operator="equal">
      <formula>"Media"</formula>
    </cfRule>
    <cfRule type="cellIs" dxfId="39" priority="42" operator="equal">
      <formula>"Baja"</formula>
    </cfRule>
    <cfRule type="cellIs" dxfId="38" priority="43" operator="equal">
      <formula>"Muy Baja"</formula>
    </cfRule>
  </conditionalFormatting>
  <conditionalFormatting sqref="S31:S32">
    <cfRule type="cellIs" dxfId="37" priority="34" operator="equal">
      <formula>"Catastrófico"</formula>
    </cfRule>
    <cfRule type="cellIs" dxfId="36" priority="35" operator="equal">
      <formula>"Mayor"</formula>
    </cfRule>
    <cfRule type="cellIs" dxfId="35" priority="36" operator="equal">
      <formula>"Moderado"</formula>
    </cfRule>
    <cfRule type="cellIs" dxfId="34" priority="37" operator="equal">
      <formula>"Menor"</formula>
    </cfRule>
    <cfRule type="cellIs" dxfId="33" priority="38" operator="equal">
      <formula>"Leve"</formula>
    </cfRule>
  </conditionalFormatting>
  <conditionalFormatting sqref="U31:U32">
    <cfRule type="cellIs" dxfId="32" priority="30" operator="equal">
      <formula>"Extremo"</formula>
    </cfRule>
    <cfRule type="cellIs" dxfId="31" priority="31" operator="equal">
      <formula>"Alto"</formula>
    </cfRule>
    <cfRule type="cellIs" dxfId="30" priority="32" operator="equal">
      <formula>"Moderado"</formula>
    </cfRule>
    <cfRule type="cellIs" dxfId="29" priority="33" operator="equal">
      <formula>"Bajo"</formula>
    </cfRule>
  </conditionalFormatting>
  <conditionalFormatting sqref="O35">
    <cfRule type="cellIs" dxfId="28" priority="25" operator="equal">
      <formula>"Muy Alta"</formula>
    </cfRule>
    <cfRule type="cellIs" dxfId="27" priority="26" operator="equal">
      <formula>"Alta"</formula>
    </cfRule>
    <cfRule type="cellIs" dxfId="26" priority="27" operator="equal">
      <formula>"Media"</formula>
    </cfRule>
    <cfRule type="cellIs" dxfId="25" priority="28" operator="equal">
      <formula>"Baja"</formula>
    </cfRule>
    <cfRule type="cellIs" dxfId="24" priority="29" operator="equal">
      <formula>"Muy Baja"</formula>
    </cfRule>
  </conditionalFormatting>
  <conditionalFormatting sqref="S35">
    <cfRule type="cellIs" dxfId="23" priority="20" operator="equal">
      <formula>"Catastrófico"</formula>
    </cfRule>
    <cfRule type="cellIs" dxfId="22" priority="21" operator="equal">
      <formula>"Mayor"</formula>
    </cfRule>
    <cfRule type="cellIs" dxfId="21" priority="22" operator="equal">
      <formula>"Moderado"</formula>
    </cfRule>
    <cfRule type="cellIs" dxfId="20" priority="23" operator="equal">
      <formula>"Menor"</formula>
    </cfRule>
    <cfRule type="cellIs" dxfId="19" priority="24" operator="equal">
      <formula>"Leve"</formula>
    </cfRule>
  </conditionalFormatting>
  <conditionalFormatting sqref="U35">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O37:O39">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S37:S39">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J7:AJ42">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dataValidations disablePrompts="1" count="5">
    <dataValidation allowBlank="1" showDropDown="1" showInputMessage="1" showErrorMessage="1" sqref="M7:M43"/>
    <dataValidation type="list" allowBlank="1" showInputMessage="1" showErrorMessage="1" error="Recuerde que las acciones se generan bajo la medida de mitigar el riesgo" sqref="AR7:AR43">
      <formula1>CONTROLG</formula1>
    </dataValidation>
    <dataValidation type="list" allowBlank="1" showInputMessage="1" showErrorMessage="1" error="Recuerde que las acciones se generan bajo la medida de mitigar el riesgo" sqref="AS7:AT43">
      <formula1>INDIRECT((SUBSTITUTE(AR7," ","_")))</formula1>
    </dataValidation>
    <dataValidation type="list" allowBlank="1" showInputMessage="1" showErrorMessage="1" sqref="J6:J15">
      <mc:AlternateContent xmlns:x12ac="http://schemas.microsoft.com/office/spreadsheetml/2011/1/ac" xmlns:mc="http://schemas.openxmlformats.org/markup-compatibility/2006">
        <mc:Choice Requires="x12ac">
          <x12ac:list>Disponibilidad, Integridad, Confidencialidad," Disponibilidad, Integridad"," Disponibilidad, Confidencialidad"," Disponibilidad, Integridad, Confidencialidad"," Confidencialidad, Integridad"</x12ac:list>
        </mc:Choice>
        <mc:Fallback>
          <formula1>"Disponibilidad, Integridad, Confidencialidad, Disponibilidad, Integridad, Disponibilidad, Confidencialidad, Disponibilidad, Integridad, Confidencialidad, Confidencialidad, Integridad"</formula1>
        </mc:Fallback>
      </mc:AlternateContent>
    </dataValidation>
    <dataValidation type="list" allowBlank="1" showInputMessage="1" showErrorMessage="1" sqref="J16:J43">
      <mc:AlternateContent xmlns:x12ac="http://schemas.microsoft.com/office/spreadsheetml/2011/1/ac" xmlns:mc="http://schemas.openxmlformats.org/markup-compatibility/2006">
        <mc:Choice Requires="x12ac">
          <x12ac:list>Disponibilidad, Integridad, Confidencialidad," Disponibilidad, Integridad"," Disponibilidad, Confidencialidad"," Disponibilidad, Integridad, Confidencialidad"," Confidencialidad, Integridad"," Integridad, Disponibilidad",</x12ac:list>
        </mc:Choice>
        <mc:Fallback>
          <formula1>"Disponibilidad, Integridad, Confidencialidad, Disponibilidad, Integridad, Disponibilidad, Confidencialidad, Disponibilidad, Integridad, Confidencialidad, Confidencialidad, Integridad, Integridad, Disponibilidad,"</formula1>
        </mc:Fallback>
      </mc:AlternateContent>
    </dataValidation>
  </dataValidations>
  <pageMargins left="0.70866141732283472" right="0.70866141732283472" top="0.74803149606299213" bottom="0.74803149606299213" header="0.31496062992125984" footer="0.31496062992125984"/>
  <pageSetup paperSize="41" scale="35" orientation="landscape" r:id="rId1"/>
  <headerFooter>
    <oddHeader>&amp;L&amp;G&amp;RMAPA DE RIESGOS DE SEGURIDAD DE LA INFORMACIÓN
Código: A-FO-248
Versión: 02
Fecha: Abril 20 de 2023</oddHeader>
  </headerFooter>
  <legacyDrawing r:id="rId2"/>
  <legacyDrawingHF r:id="rId3"/>
  <extLst>
    <ext xmlns:x14="http://schemas.microsoft.com/office/spreadsheetml/2009/9/main" uri="{CCE6A557-97BC-4b89-ADB6-D9C93CAAB3DF}">
      <x14:dataValidations xmlns:xm="http://schemas.microsoft.com/office/excel/2006/main" disablePrompts="1" count="20">
        <x14:dataValidation type="list" allowBlank="1" showInputMessage="1" showErrorMessage="1">
          <x14:formula1>
            <xm:f>'Opciones Tratamiento'!$B$9:$B$10</xm:f>
          </x14:formula1>
          <xm:sqref>AX28:AX31 AX33:AX37 AX17:AX18 AX10:AX15 AX24:AX25 AX40</xm:sqref>
        </x14:dataValidation>
        <x14:dataValidation type="custom" allowBlank="1" showInputMessage="1" showErrorMessage="1" error="Recuerde que las acciones se generan bajo la medida de mitigar el riesgo">
          <x14:formula1>
            <xm:f>IF(OR(AO7='Opciones Tratamiento'!$B$2,AO7='Opciones Tratamiento'!$B$3,AO7='Opciones Tratamiento'!$B$4),ISBLANK(AO7),ISTEXT(AO7))</xm:f>
          </x14:formula1>
          <xm:sqref>AU17:AV18 AU24:AV25 AU28:AV37 AU40:AV40 AU7:AW15</xm:sqref>
        </x14:dataValidation>
        <x14:dataValidation type="custom" allowBlank="1" showInputMessage="1" showErrorMessage="1" error="Recuerde que las acciones se generan bajo la medida de mitigar el riesgo">
          <x14:formula1>
            <xm:f>IF(OR(AI16='C:\Users\willyvijalba\Downloads\[FORMATO DE RIESGO consolidado.xlsx]Opciones Tratamiento'!#REF!,AI16='C:\Users\willyvijalba\Downloads\[FORMATO DE RIESGO consolidado.xlsx]Opciones Tratamiento'!#REF!,AI16='C:\Users\willyvijalba\Downloads\[FORMATO DE RIESGO consolidado.xlsx]Opciones Tratamiento'!#REF!),ISBLANK(AI16),ISTEXT(AI16))</xm:f>
          </x14:formula1>
          <xm:sqref>AP41:AQ43 AU16:AX16 AU26:AX27 AU38:AX39 AU41:AX43 AP16:AQ16 AP26:AQ27 AP38:AQ39 AP19:AQ23 AU19:AX23</xm:sqref>
        </x14:dataValidation>
        <x14:dataValidation type="list" allowBlank="1" showInputMessage="1" showErrorMessage="1">
          <x14:formula1>
            <xm:f>'C:\Users\willyvijalba\Downloads\[FORMATO DE RIESGO consolidado.xlsx]Opciones Tratamiento'!#REF!</xm:f>
          </x14:formula1>
          <xm:sqref>AX7:AX9</xm:sqref>
        </x14:dataValidation>
        <x14:dataValidation type="custom" allowBlank="1" showInputMessage="1" showErrorMessage="1" error="Recuerde que las acciones se generan bajo la medida de mitigar el riesgo">
          <x14:formula1>
            <xm:f>IF(OR(AO17='Opciones Tratamiento'!$B$2,AO17='Opciones Tratamiento'!$B$3,AO17='Opciones Tratamiento'!$B$4),ISBLANK(AO17),ISTEXT(AO17))</xm:f>
          </x14:formula1>
          <xm:sqref>AW17:AW18 AW40 AW28:AW37 AW24:AW25</xm:sqref>
        </x14:dataValidation>
        <x14:dataValidation type="custom" allowBlank="1" showInputMessage="1" showErrorMessage="1" error="Recuerde que las acciones se generan bajo la medida de mitigar el riesgo">
          <x14:formula1>
            <xm:f>IF(OR(AO7='Opciones Tratamiento'!$B$2,AO7='Opciones Tratamiento'!$B$3,AO7='Opciones Tratamiento'!$B$4),ISBLANK(AO7),ISTEXT(AO7))</xm:f>
          </x14:formula1>
          <xm:sqref>AP24:AP25 AP7:AP15 AP17:AP18 AP28:AP37 AP40</xm:sqref>
        </x14:dataValidation>
        <x14:dataValidation type="custom" allowBlank="1" showInputMessage="1" showErrorMessage="1" error="Recuerde que las acciones se generan bajo la medida de mitigar el riesgo">
          <x14:formula1>
            <xm:f>IF(OR(AO7='Opciones Tratamiento'!$B$2,AO7='Opciones Tratamiento'!$B$3,AO7='Opciones Tratamiento'!$B$4),ISBLANK(AO7),ISTEXT(AO7))</xm:f>
          </x14:formula1>
          <xm:sqref>AQ24:AQ25 AQ7:AQ15 AQ17:AQ18 AQ28:AQ37 AQ40</xm:sqref>
        </x14:dataValidation>
        <x14:dataValidation type="list" allowBlank="1" showInputMessage="1" showErrorMessage="1">
          <x14:formula1>
            <xm:f>'Tabla Valoración controles'!$D$4:$D$6</xm:f>
          </x14:formula1>
          <xm:sqref>X7:X43</xm:sqref>
        </x14:dataValidation>
        <x14:dataValidation type="list" allowBlank="1" showInputMessage="1" showErrorMessage="1">
          <x14:formula1>
            <xm:f>'Tabla Valoración controles'!$D$7:$D$8</xm:f>
          </x14:formula1>
          <xm:sqref>Y7:Y43</xm:sqref>
        </x14:dataValidation>
        <x14:dataValidation type="list" allowBlank="1" showInputMessage="1" showErrorMessage="1">
          <x14:formula1>
            <xm:f>'Tabla Valoración controles'!$D$9:$D$10</xm:f>
          </x14:formula1>
          <xm:sqref>AA7:AA43</xm:sqref>
        </x14:dataValidation>
        <x14:dataValidation type="list" allowBlank="1" showInputMessage="1" showErrorMessage="1">
          <x14:formula1>
            <xm:f>'Tabla Valoración controles'!$D$11:$D$12</xm:f>
          </x14:formula1>
          <xm:sqref>AB7:AB43</xm:sqref>
        </x14:dataValidation>
        <x14:dataValidation type="list" allowBlank="1" showInputMessage="1" showErrorMessage="1">
          <x14:formula1>
            <xm:f>'Tabla Valoración controles'!$D$13:$D$14</xm:f>
          </x14:formula1>
          <xm:sqref>AC7:AC43</xm:sqref>
        </x14:dataValidation>
        <x14:dataValidation type="list" allowBlank="1" showInputMessage="1" showErrorMessage="1">
          <x14:formula1>
            <xm:f>'Opciones Tratamiento'!$B$13:$B$19</xm:f>
          </x14:formula1>
          <xm:sqref>K7:K43</xm:sqref>
        </x14:dataValidation>
        <x14:dataValidation type="list" allowBlank="1" showInputMessage="1" showErrorMessage="1">
          <x14:formula1>
            <xm:f>'Opciones Tratamiento'!$E$2:$E$4</xm:f>
          </x14:formula1>
          <xm:sqref>F7:F43</xm:sqref>
        </x14:dataValidation>
        <x14:dataValidation type="list" allowBlank="1" showInputMessage="1" showErrorMessage="1">
          <x14:formula1>
            <xm:f>'Opciones Tratamiento'!$B$2:$B$5</xm:f>
          </x14:formula1>
          <xm:sqref>AO7:AO43</xm:sqref>
        </x14:dataValidation>
        <x14:dataValidation type="list" allowBlank="1" showInputMessage="1" showErrorMessage="1">
          <x14:formula1>
            <xm:f>'Tabla Impacto'!$F$210:$F$221</xm:f>
          </x14:formula1>
          <xm:sqref>Q7:Q43</xm:sqref>
        </x14:dataValidation>
        <x14:dataValidation type="list" allowBlank="1" showInputMessage="1" showErrorMessage="1">
          <x14:formula1>
            <xm:f>'Tabla Valoración controles'!$C$15:$C$28</xm:f>
          </x14:formula1>
          <xm:sqref>E7:E43</xm:sqref>
        </x14:dataValidation>
        <x14:dataValidation type="list" allowBlank="1" showInputMessage="1" showErrorMessage="1">
          <x14:formula1>
            <xm:f>'Tabla Valoración controles'!$C$183:$C$197</xm:f>
          </x14:formula1>
          <xm:sqref>L7:L43</xm:sqref>
        </x14:dataValidation>
        <x14:dataValidation type="list" allowBlank="1" showInputMessage="1" showErrorMessage="1">
          <x14:formula1>
            <xm:f>'Tabla probabilidad'!$C$4:$C$8</xm:f>
          </x14:formula1>
          <xm:sqref>N7:N43</xm:sqref>
        </x14:dataValidation>
        <x14:dataValidation type="list" allowBlank="1" showInputMessage="1" showErrorMessage="1">
          <x14:formula1>
            <xm:f>'Tabla Valoración controles'!$C$198:$C$200</xm:f>
          </x14:formula1>
          <xm:sqref>AI7:AI43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U140"/>
  <sheetViews>
    <sheetView topLeftCell="H3" zoomScale="55" zoomScaleNormal="55" workbookViewId="0">
      <selection activeCell="J46" sqref="J46:O51"/>
    </sheetView>
  </sheetViews>
  <sheetFormatPr baseColWidth="10" defaultColWidth="11.42578125" defaultRowHeight="15" x14ac:dyDescent="0.25"/>
  <cols>
    <col min="2" max="39" width="5.7109375" customWidth="1"/>
    <col min="41" max="46" width="5.7109375" customWidth="1"/>
  </cols>
  <sheetData>
    <row r="1" spans="1:99" x14ac:dyDescent="0.2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row>
    <row r="2" spans="1:99" ht="18" customHeight="1" x14ac:dyDescent="0.25">
      <c r="A2" s="70"/>
      <c r="B2" s="395" t="s">
        <v>275</v>
      </c>
      <c r="C2" s="395"/>
      <c r="D2" s="395"/>
      <c r="E2" s="395"/>
      <c r="F2" s="395"/>
      <c r="G2" s="395"/>
      <c r="H2" s="395"/>
      <c r="I2" s="395"/>
      <c r="J2" s="362" t="s">
        <v>19</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row>
    <row r="3" spans="1:99" ht="18.75" customHeight="1" x14ac:dyDescent="0.25">
      <c r="A3" s="70"/>
      <c r="B3" s="395"/>
      <c r="C3" s="395"/>
      <c r="D3" s="395"/>
      <c r="E3" s="395"/>
      <c r="F3" s="395"/>
      <c r="G3" s="395"/>
      <c r="H3" s="395"/>
      <c r="I3" s="395"/>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row>
    <row r="4" spans="1:99" ht="15" customHeight="1" x14ac:dyDescent="0.25">
      <c r="A4" s="70"/>
      <c r="B4" s="395"/>
      <c r="C4" s="395"/>
      <c r="D4" s="395"/>
      <c r="E4" s="395"/>
      <c r="F4" s="395"/>
      <c r="G4" s="395"/>
      <c r="H4" s="395"/>
      <c r="I4" s="395"/>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row>
    <row r="5" spans="1:99" ht="15.75" thickBot="1" x14ac:dyDescent="0.3">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row>
    <row r="6" spans="1:99" ht="15" customHeight="1" x14ac:dyDescent="0.25">
      <c r="A6" s="70"/>
      <c r="B6" s="308" t="s">
        <v>249</v>
      </c>
      <c r="C6" s="308"/>
      <c r="D6" s="309"/>
      <c r="E6" s="346" t="s">
        <v>276</v>
      </c>
      <c r="F6" s="347"/>
      <c r="G6" s="347"/>
      <c r="H6" s="347"/>
      <c r="I6" s="348"/>
      <c r="J6" s="358" t="str">
        <f>IF(AND('Mapa final'!$O$7="Muy Alta",'Mapa final'!$S$7="Leve"),CONCATENATE("R",'Mapa final'!$C$7),"")</f>
        <v/>
      </c>
      <c r="K6" s="359"/>
      <c r="L6" s="359" t="str">
        <f>IF(AND('Mapa final'!$O$8="Muy Alta",'Mapa final'!$S$8="Leve"),CONCATENATE("R",'Mapa final'!$C$8),"")</f>
        <v/>
      </c>
      <c r="M6" s="359"/>
      <c r="N6" s="359" t="str">
        <f>IF(AND('Mapa final'!$O$10="Muy Alta",'Mapa final'!$S$10="Leve"),CONCATENATE("R",'Mapa final'!$C$10),"")</f>
        <v/>
      </c>
      <c r="O6" s="361"/>
      <c r="P6" s="358" t="str">
        <f>IF(AND('Mapa final'!$O$7="Muy Alta",'Mapa final'!$S$7="Menor"),CONCATENATE("R",'Mapa final'!$C$7),"")</f>
        <v/>
      </c>
      <c r="Q6" s="359"/>
      <c r="R6" s="359" t="str">
        <f>IF(AND('Mapa final'!$O$8="Muy Alta",'Mapa final'!$S$8="Menor"),CONCATENATE("R",'Mapa final'!$C$8),"")</f>
        <v/>
      </c>
      <c r="S6" s="359"/>
      <c r="T6" s="359" t="str">
        <f>IF(AND('Mapa final'!$O$10="Muy Alta",'Mapa final'!$S$10="Menor"),CONCATENATE("R",'Mapa final'!$C$10),"")</f>
        <v/>
      </c>
      <c r="U6" s="361"/>
      <c r="V6" s="358" t="str">
        <f>IF(AND('Mapa final'!$O$7="Muy Alta",'Mapa final'!$S$7="Moderado"),CONCATENATE("R",'Mapa final'!$C$7),"")</f>
        <v/>
      </c>
      <c r="W6" s="359"/>
      <c r="X6" s="359" t="str">
        <f>IF(AND('Mapa final'!$O$8="Muy Alta",'Mapa final'!$S$8="Moderado"),CONCATENATE("R",'Mapa final'!$C$8),"")</f>
        <v/>
      </c>
      <c r="Y6" s="359"/>
      <c r="Z6" s="359" t="str">
        <f>IF(AND('Mapa final'!$O$10="Muy Alta",'Mapa final'!$S$10="Moderado"),CONCATENATE("R",'Mapa final'!$C$10),"")</f>
        <v/>
      </c>
      <c r="AA6" s="361"/>
      <c r="AB6" s="358" t="str">
        <f>IF(AND('Mapa final'!$O$7="Muy Alta",'Mapa final'!$S$7="Mayor"),CONCATENATE("R",'Mapa final'!$C$7),"")</f>
        <v/>
      </c>
      <c r="AC6" s="359"/>
      <c r="AD6" s="359" t="str">
        <f>IF(AND('Mapa final'!$O$8="Muy Alta",'Mapa final'!$S$8="Mayor"),CONCATENATE("R",'Mapa final'!$C$8),"")</f>
        <v/>
      </c>
      <c r="AE6" s="359"/>
      <c r="AF6" s="359" t="str">
        <f>IF(AND('Mapa final'!$O$10="Muy Alta",'Mapa final'!$S$10="Mayor"),CONCATENATE("R",'Mapa final'!$C$10),"")</f>
        <v/>
      </c>
      <c r="AG6" s="361"/>
      <c r="AH6" s="374" t="str">
        <f>IF(AND('Mapa final'!$O$7="Muy Alta",'Mapa final'!$S$7="Catastrófico"),CONCATENATE("R",'Mapa final'!$C$7),"")</f>
        <v/>
      </c>
      <c r="AI6" s="375"/>
      <c r="AJ6" s="375" t="str">
        <f>IF(AND('Mapa final'!$O$8="Muy Alta",'Mapa final'!$S$8="Catastrófico"),CONCATENATE("R",'Mapa final'!$C$8),"")</f>
        <v/>
      </c>
      <c r="AK6" s="375"/>
      <c r="AL6" s="375" t="str">
        <f>IF(AND('Mapa final'!$O$10="Muy Alta",'Mapa final'!$S$10="Catastrófico"),CONCATENATE("R",'Mapa final'!$C$10),"")</f>
        <v/>
      </c>
      <c r="AM6" s="376"/>
      <c r="AO6" s="310" t="s">
        <v>277</v>
      </c>
      <c r="AP6" s="311"/>
      <c r="AQ6" s="311"/>
      <c r="AR6" s="311"/>
      <c r="AS6" s="311"/>
      <c r="AT6" s="312"/>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row>
    <row r="7" spans="1:99" ht="15" customHeight="1" x14ac:dyDescent="0.25">
      <c r="A7" s="70"/>
      <c r="B7" s="308"/>
      <c r="C7" s="308"/>
      <c r="D7" s="309"/>
      <c r="E7" s="349"/>
      <c r="F7" s="350"/>
      <c r="G7" s="350"/>
      <c r="H7" s="350"/>
      <c r="I7" s="351"/>
      <c r="J7" s="360"/>
      <c r="K7" s="357"/>
      <c r="L7" s="357"/>
      <c r="M7" s="357"/>
      <c r="N7" s="357"/>
      <c r="O7" s="356"/>
      <c r="P7" s="360"/>
      <c r="Q7" s="357"/>
      <c r="R7" s="357"/>
      <c r="S7" s="357"/>
      <c r="T7" s="357"/>
      <c r="U7" s="356"/>
      <c r="V7" s="360"/>
      <c r="W7" s="357"/>
      <c r="X7" s="357"/>
      <c r="Y7" s="357"/>
      <c r="Z7" s="357"/>
      <c r="AA7" s="356"/>
      <c r="AB7" s="360"/>
      <c r="AC7" s="357"/>
      <c r="AD7" s="357"/>
      <c r="AE7" s="357"/>
      <c r="AF7" s="357"/>
      <c r="AG7" s="356"/>
      <c r="AH7" s="368"/>
      <c r="AI7" s="369"/>
      <c r="AJ7" s="369"/>
      <c r="AK7" s="369"/>
      <c r="AL7" s="369"/>
      <c r="AM7" s="370"/>
      <c r="AN7" s="70"/>
      <c r="AO7" s="313"/>
      <c r="AP7" s="314"/>
      <c r="AQ7" s="314"/>
      <c r="AR7" s="314"/>
      <c r="AS7" s="314"/>
      <c r="AT7" s="315"/>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row>
    <row r="8" spans="1:99" ht="15" customHeight="1" x14ac:dyDescent="0.25">
      <c r="A8" s="70"/>
      <c r="B8" s="308"/>
      <c r="C8" s="308"/>
      <c r="D8" s="309"/>
      <c r="E8" s="349"/>
      <c r="F8" s="350"/>
      <c r="G8" s="350"/>
      <c r="H8" s="350"/>
      <c r="I8" s="351"/>
      <c r="J8" s="360" t="str">
        <f>IF(AND('Mapa final'!$O$12="Muy Alta",'Mapa final'!$S$12="Leve"),CONCATENATE("R",'Mapa final'!$C$12),"")</f>
        <v/>
      </c>
      <c r="K8" s="357"/>
      <c r="L8" s="355" t="str">
        <f>IF(AND('Mapa final'!$O$15="Muy Alta",'Mapa final'!$S$15="Leve"),CONCATENATE("R",'Mapa final'!$C$15),"")</f>
        <v/>
      </c>
      <c r="M8" s="355"/>
      <c r="N8" s="355" t="str">
        <f>IF(AND('Mapa final'!$O$17="Muy Alta",'Mapa final'!$S$17="Leve"),CONCATENATE("R",'Mapa final'!$C$17),"")</f>
        <v/>
      </c>
      <c r="O8" s="356"/>
      <c r="P8" s="360" t="str">
        <f>IF(AND('Mapa final'!$O$12="Muy Alta",'Mapa final'!$S$12="Menor"),CONCATENATE("R",'Mapa final'!$C$12),"")</f>
        <v/>
      </c>
      <c r="Q8" s="357"/>
      <c r="R8" s="355" t="str">
        <f>IF(AND('Mapa final'!$O$15="Muy Alta",'Mapa final'!$S$15="Menor"),CONCATENATE("R",'Mapa final'!$C$15),"")</f>
        <v/>
      </c>
      <c r="S8" s="355"/>
      <c r="T8" s="355" t="str">
        <f>IF(AND('Mapa final'!$O$17="Muy Alta",'Mapa final'!$S$17="Menor"),CONCATENATE("R",'Mapa final'!$C$17),"")</f>
        <v/>
      </c>
      <c r="U8" s="356"/>
      <c r="V8" s="360" t="str">
        <f>IF(AND('Mapa final'!$O$12="Muy Alta",'Mapa final'!$S$12="Moderado"),CONCATENATE("R",'Mapa final'!$C$12),"")</f>
        <v/>
      </c>
      <c r="W8" s="357"/>
      <c r="X8" s="355" t="str">
        <f>IF(AND('Mapa final'!$O$15="Muy Alta",'Mapa final'!$S$15="Moderado"),CONCATENATE("R",'Mapa final'!$C$15),"")</f>
        <v/>
      </c>
      <c r="Y8" s="355"/>
      <c r="Z8" s="355" t="str">
        <f>IF(AND('Mapa final'!$O$17="Muy Alta",'Mapa final'!$S$17="Moderado"),CONCATENATE("R",'Mapa final'!$C$17),"")</f>
        <v/>
      </c>
      <c r="AA8" s="356"/>
      <c r="AB8" s="360" t="str">
        <f>IF(AND('Mapa final'!$O$12="Muy Alta",'Mapa final'!$S$12="Mayor"),CONCATENATE("R",'Mapa final'!$C$12),"")</f>
        <v/>
      </c>
      <c r="AC8" s="357"/>
      <c r="AD8" s="355" t="str">
        <f>IF(AND('Mapa final'!$O$15="Muy Alta",'Mapa final'!$S$15="Mayor"),CONCATENATE("R",'Mapa final'!$C$15),"")</f>
        <v/>
      </c>
      <c r="AE8" s="355"/>
      <c r="AF8" s="355" t="str">
        <f>IF(AND('Mapa final'!$O$17="Muy Alta",'Mapa final'!$S$17="Mayor"),CONCATENATE("R",'Mapa final'!$C$17),"")</f>
        <v/>
      </c>
      <c r="AG8" s="356"/>
      <c r="AH8" s="368" t="str">
        <f>IF(AND('Mapa final'!$O$12="Muy Alta",'Mapa final'!$S$12="Catastrófico"),CONCATENATE("R",'Mapa final'!$C$12),"")</f>
        <v/>
      </c>
      <c r="AI8" s="369"/>
      <c r="AJ8" s="369" t="str">
        <f>IF(AND('Mapa final'!$O$15="Muy Alta",'Mapa final'!$S$15="Catastrófico"),CONCATENATE("R",'Mapa final'!$C$15),"")</f>
        <v/>
      </c>
      <c r="AK8" s="369"/>
      <c r="AL8" s="369" t="str">
        <f>IF(AND('Mapa final'!$O$17="Muy Alta",'Mapa final'!$S$17="Catastrófico"),CONCATENATE("R",'Mapa final'!$C$17),"")</f>
        <v/>
      </c>
      <c r="AM8" s="370"/>
      <c r="AN8" s="70"/>
      <c r="AO8" s="313"/>
      <c r="AP8" s="314"/>
      <c r="AQ8" s="314"/>
      <c r="AR8" s="314"/>
      <c r="AS8" s="314"/>
      <c r="AT8" s="315"/>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row>
    <row r="9" spans="1:99" ht="15" customHeight="1" x14ac:dyDescent="0.25">
      <c r="A9" s="70"/>
      <c r="B9" s="308"/>
      <c r="C9" s="308"/>
      <c r="D9" s="309"/>
      <c r="E9" s="349"/>
      <c r="F9" s="350"/>
      <c r="G9" s="350"/>
      <c r="H9" s="350"/>
      <c r="I9" s="351"/>
      <c r="J9" s="360"/>
      <c r="K9" s="357"/>
      <c r="L9" s="355"/>
      <c r="M9" s="355"/>
      <c r="N9" s="355"/>
      <c r="O9" s="356"/>
      <c r="P9" s="360"/>
      <c r="Q9" s="357"/>
      <c r="R9" s="355"/>
      <c r="S9" s="355"/>
      <c r="T9" s="355"/>
      <c r="U9" s="356"/>
      <c r="V9" s="360"/>
      <c r="W9" s="357"/>
      <c r="X9" s="355"/>
      <c r="Y9" s="355"/>
      <c r="Z9" s="355"/>
      <c r="AA9" s="356"/>
      <c r="AB9" s="360"/>
      <c r="AC9" s="357"/>
      <c r="AD9" s="355"/>
      <c r="AE9" s="355"/>
      <c r="AF9" s="355"/>
      <c r="AG9" s="356"/>
      <c r="AH9" s="368"/>
      <c r="AI9" s="369"/>
      <c r="AJ9" s="369"/>
      <c r="AK9" s="369"/>
      <c r="AL9" s="369"/>
      <c r="AM9" s="370"/>
      <c r="AN9" s="70"/>
      <c r="AO9" s="313"/>
      <c r="AP9" s="314"/>
      <c r="AQ9" s="314"/>
      <c r="AR9" s="314"/>
      <c r="AS9" s="314"/>
      <c r="AT9" s="315"/>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row>
    <row r="10" spans="1:99" ht="15" customHeight="1" x14ac:dyDescent="0.25">
      <c r="A10" s="70"/>
      <c r="B10" s="308"/>
      <c r="C10" s="308"/>
      <c r="D10" s="309"/>
      <c r="E10" s="349"/>
      <c r="F10" s="350"/>
      <c r="G10" s="350"/>
      <c r="H10" s="350"/>
      <c r="I10" s="351"/>
      <c r="J10" s="360" t="str">
        <f>IF(AND('Mapa final'!$O$20="Muy Alta",'Mapa final'!$S$20="Leve"),CONCATENATE("R",'Mapa final'!$C$20),"")</f>
        <v/>
      </c>
      <c r="K10" s="357"/>
      <c r="L10" s="355" t="str">
        <f>IF(AND('Mapa final'!$O$22="Muy Alta",'Mapa final'!$S$22="Leve"),CONCATENATE("R",'Mapa final'!$C$22),"")</f>
        <v/>
      </c>
      <c r="M10" s="355"/>
      <c r="N10" s="355" t="str">
        <f>IF(AND('Mapa final'!$O$26="Muy Alta",'Mapa final'!$S$26="Leve"),CONCATENATE("R",'Mapa final'!$C$26),"")</f>
        <v/>
      </c>
      <c r="O10" s="356"/>
      <c r="P10" s="360" t="str">
        <f>IF(AND('Mapa final'!$O$20="Muy Alta",'Mapa final'!$S$20="Menor"),CONCATENATE("R",'Mapa final'!$C$20),"")</f>
        <v/>
      </c>
      <c r="Q10" s="357"/>
      <c r="R10" s="355" t="str">
        <f>IF(AND('Mapa final'!$O$22="Muy Alta",'Mapa final'!$S$22="Menor"),CONCATENATE("R",'Mapa final'!$C$22),"")</f>
        <v/>
      </c>
      <c r="S10" s="355"/>
      <c r="T10" s="355" t="str">
        <f>IF(AND('Mapa final'!$O$26="Muy Alta",'Mapa final'!$S$26="Menor"),CONCATENATE("R",'Mapa final'!$C$26),"")</f>
        <v/>
      </c>
      <c r="U10" s="356"/>
      <c r="V10" s="360" t="str">
        <f>IF(AND('Mapa final'!$O$20="Muy Alta",'Mapa final'!$S$20="Moderado"),CONCATENATE("R",'Mapa final'!$C$20),"")</f>
        <v/>
      </c>
      <c r="W10" s="357"/>
      <c r="X10" s="355" t="str">
        <f>IF(AND('Mapa final'!$O$22="Muy Alta",'Mapa final'!$S$22="Moderado"),CONCATENATE("R",'Mapa final'!$C$22),"")</f>
        <v/>
      </c>
      <c r="Y10" s="355"/>
      <c r="Z10" s="355" t="str">
        <f>IF(AND('Mapa final'!$O$26="Muy Alta",'Mapa final'!$S$26="Moderado"),CONCATENATE("R",'Mapa final'!$C$26),"")</f>
        <v/>
      </c>
      <c r="AA10" s="356"/>
      <c r="AB10" s="360" t="str">
        <f>IF(AND('Mapa final'!$O$20="Muy Alta",'Mapa final'!$S$20="Mayor"),CONCATENATE("R",'Mapa final'!$C$20),"")</f>
        <v/>
      </c>
      <c r="AC10" s="357"/>
      <c r="AD10" s="355" t="str">
        <f>IF(AND('Mapa final'!$O$22="Muy Alta",'Mapa final'!$S$22="Mayor"),CONCATENATE("R",'Mapa final'!$C$22),"")</f>
        <v/>
      </c>
      <c r="AE10" s="355"/>
      <c r="AF10" s="355" t="str">
        <f>IF(AND('Mapa final'!$O$26="Muy Alta",'Mapa final'!$S$26="Mayor"),CONCATENATE("R",'Mapa final'!$C$26),"")</f>
        <v/>
      </c>
      <c r="AG10" s="356"/>
      <c r="AH10" s="368" t="str">
        <f>IF(AND('Mapa final'!$O$20="Muy Alta",'Mapa final'!$S$20="Catastrófico"),CONCATENATE("R",'Mapa final'!$C$20),"")</f>
        <v/>
      </c>
      <c r="AI10" s="369"/>
      <c r="AJ10" s="369" t="str">
        <f>IF(AND('Mapa final'!$O$22="Muy Alta",'Mapa final'!$S$22="Catastrófico"),CONCATENATE("R",'Mapa final'!$C$22),"")</f>
        <v/>
      </c>
      <c r="AK10" s="369"/>
      <c r="AL10" s="369" t="str">
        <f>IF(AND('Mapa final'!$O$26="Muy Alta",'Mapa final'!$S$26="Catastrófico"),CONCATENATE("R",'Mapa final'!$C$26),"")</f>
        <v/>
      </c>
      <c r="AM10" s="370"/>
      <c r="AN10" s="70"/>
      <c r="AO10" s="313"/>
      <c r="AP10" s="314"/>
      <c r="AQ10" s="314"/>
      <c r="AR10" s="314"/>
      <c r="AS10" s="314"/>
      <c r="AT10" s="315"/>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row>
    <row r="11" spans="1:99" ht="15" customHeight="1" x14ac:dyDescent="0.25">
      <c r="A11" s="70"/>
      <c r="B11" s="308"/>
      <c r="C11" s="308"/>
      <c r="D11" s="309"/>
      <c r="E11" s="349"/>
      <c r="F11" s="350"/>
      <c r="G11" s="350"/>
      <c r="H11" s="350"/>
      <c r="I11" s="351"/>
      <c r="J11" s="360"/>
      <c r="K11" s="357"/>
      <c r="L11" s="355"/>
      <c r="M11" s="355"/>
      <c r="N11" s="355"/>
      <c r="O11" s="356"/>
      <c r="P11" s="360"/>
      <c r="Q11" s="357"/>
      <c r="R11" s="355"/>
      <c r="S11" s="355"/>
      <c r="T11" s="355"/>
      <c r="U11" s="356"/>
      <c r="V11" s="360"/>
      <c r="W11" s="357"/>
      <c r="X11" s="355"/>
      <c r="Y11" s="355"/>
      <c r="Z11" s="355"/>
      <c r="AA11" s="356"/>
      <c r="AB11" s="360"/>
      <c r="AC11" s="357"/>
      <c r="AD11" s="355"/>
      <c r="AE11" s="355"/>
      <c r="AF11" s="355"/>
      <c r="AG11" s="356"/>
      <c r="AH11" s="368"/>
      <c r="AI11" s="369"/>
      <c r="AJ11" s="369"/>
      <c r="AK11" s="369"/>
      <c r="AL11" s="369"/>
      <c r="AM11" s="370"/>
      <c r="AN11" s="70"/>
      <c r="AO11" s="313"/>
      <c r="AP11" s="314"/>
      <c r="AQ11" s="314"/>
      <c r="AR11" s="314"/>
      <c r="AS11" s="314"/>
      <c r="AT11" s="315"/>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row>
    <row r="12" spans="1:99" ht="15" customHeight="1" x14ac:dyDescent="0.25">
      <c r="A12" s="70"/>
      <c r="B12" s="308"/>
      <c r="C12" s="308"/>
      <c r="D12" s="309"/>
      <c r="E12" s="349"/>
      <c r="F12" s="350"/>
      <c r="G12" s="350"/>
      <c r="H12" s="350"/>
      <c r="I12" s="351"/>
      <c r="J12" s="360" t="e">
        <f>IF(AND('Mapa final'!#REF!="Muy Alta",'Mapa final'!#REF!="Leve"),CONCATENATE("R",'Mapa final'!#REF!),"")</f>
        <v>#REF!</v>
      </c>
      <c r="K12" s="357"/>
      <c r="L12" s="355" t="e">
        <f>IF(AND('Mapa final'!#REF!="Muy Alta",'Mapa final'!#REF!="Leve"),CONCATENATE("R",'Mapa final'!#REF!),"")</f>
        <v>#REF!</v>
      </c>
      <c r="M12" s="355"/>
      <c r="N12" s="355" t="str">
        <f ca="1">IF(AND('Mapa final'!$O$32="Muy Alta",'Mapa final'!$S$32="Leve"),CONCATENATE("R",'Mapa final'!$C$32),"")</f>
        <v/>
      </c>
      <c r="O12" s="356"/>
      <c r="P12" s="360" t="e">
        <f>IF(AND('Mapa final'!#REF!="Muy Alta",'Mapa final'!#REF!="Menor"),CONCATENATE("R",'Mapa final'!#REF!),"")</f>
        <v>#REF!</v>
      </c>
      <c r="Q12" s="357"/>
      <c r="R12" s="355" t="e">
        <f>IF(AND('Mapa final'!#REF!="Muy Alta",'Mapa final'!#REF!="Menor"),CONCATENATE("R",'Mapa final'!#REF!),"")</f>
        <v>#REF!</v>
      </c>
      <c r="S12" s="355"/>
      <c r="T12" s="355" t="str">
        <f ca="1">IF(AND('Mapa final'!$O$32="Muy Alta",'Mapa final'!$S$32="Menor"),CONCATENATE("R",'Mapa final'!$C$32),"")</f>
        <v/>
      </c>
      <c r="U12" s="356"/>
      <c r="V12" s="360" t="e">
        <f>IF(AND('Mapa final'!#REF!="Muy Alta",'Mapa final'!#REF!="Moderado"),CONCATENATE("R",'Mapa final'!#REF!),"")</f>
        <v>#REF!</v>
      </c>
      <c r="W12" s="357"/>
      <c r="X12" s="355" t="e">
        <f>IF(AND('Mapa final'!#REF!="Muy Alta",'Mapa final'!#REF!="Moderado"),CONCATENATE("R",'Mapa final'!#REF!),"")</f>
        <v>#REF!</v>
      </c>
      <c r="Y12" s="355"/>
      <c r="Z12" s="355" t="str">
        <f ca="1">IF(AND('Mapa final'!$O$32="Muy Alta",'Mapa final'!$S$32="Moderado"),CONCATENATE("R",'Mapa final'!$C$32),"")</f>
        <v/>
      </c>
      <c r="AA12" s="356"/>
      <c r="AB12" s="360" t="e">
        <f>IF(AND('Mapa final'!#REF!="Muy Alta",'Mapa final'!#REF!="Mayor"),CONCATENATE("R",'Mapa final'!#REF!),"")</f>
        <v>#REF!</v>
      </c>
      <c r="AC12" s="357"/>
      <c r="AD12" s="355" t="e">
        <f>IF(AND('Mapa final'!#REF!="Muy Alta",'Mapa final'!#REF!="Mayor"),CONCATENATE("R",'Mapa final'!#REF!),"")</f>
        <v>#REF!</v>
      </c>
      <c r="AE12" s="355"/>
      <c r="AF12" s="355" t="str">
        <f ca="1">IF(AND('Mapa final'!$O$32="Muy Alta",'Mapa final'!$S$32="Mayor"),CONCATENATE("R",'Mapa final'!$C$32),"")</f>
        <v/>
      </c>
      <c r="AG12" s="356"/>
      <c r="AH12" s="368" t="e">
        <f>IF(AND('Mapa final'!#REF!="Muy Alta",'Mapa final'!#REF!="Catastrófico"),CONCATENATE("R",'Mapa final'!#REF!),"")</f>
        <v>#REF!</v>
      </c>
      <c r="AI12" s="369"/>
      <c r="AJ12" s="369" t="e">
        <f>IF(AND('Mapa final'!#REF!="Muy Alta",'Mapa final'!#REF!="Catastrófico"),CONCATENATE("R",'Mapa final'!#REF!),"")</f>
        <v>#REF!</v>
      </c>
      <c r="AK12" s="369"/>
      <c r="AL12" s="369" t="str">
        <f ca="1">IF(AND('Mapa final'!$O$32="Muy Alta",'Mapa final'!$S$32="Catastrófico"),CONCATENATE("R",'Mapa final'!$C$32),"")</f>
        <v/>
      </c>
      <c r="AM12" s="370"/>
      <c r="AN12" s="70"/>
      <c r="AO12" s="313"/>
      <c r="AP12" s="314"/>
      <c r="AQ12" s="314"/>
      <c r="AR12" s="314"/>
      <c r="AS12" s="314"/>
      <c r="AT12" s="315"/>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row>
    <row r="13" spans="1:99" ht="15.75" customHeight="1" thickBot="1" x14ac:dyDescent="0.3">
      <c r="A13" s="70"/>
      <c r="B13" s="308"/>
      <c r="C13" s="308"/>
      <c r="D13" s="309"/>
      <c r="E13" s="352"/>
      <c r="F13" s="353"/>
      <c r="G13" s="353"/>
      <c r="H13" s="353"/>
      <c r="I13" s="354"/>
      <c r="J13" s="360"/>
      <c r="K13" s="357"/>
      <c r="L13" s="357"/>
      <c r="M13" s="357"/>
      <c r="N13" s="357"/>
      <c r="O13" s="356"/>
      <c r="P13" s="360"/>
      <c r="Q13" s="357"/>
      <c r="R13" s="357"/>
      <c r="S13" s="357"/>
      <c r="T13" s="357"/>
      <c r="U13" s="356"/>
      <c r="V13" s="360"/>
      <c r="W13" s="357"/>
      <c r="X13" s="357"/>
      <c r="Y13" s="357"/>
      <c r="Z13" s="357"/>
      <c r="AA13" s="356"/>
      <c r="AB13" s="360"/>
      <c r="AC13" s="357"/>
      <c r="AD13" s="357"/>
      <c r="AE13" s="357"/>
      <c r="AF13" s="357"/>
      <c r="AG13" s="356"/>
      <c r="AH13" s="371"/>
      <c r="AI13" s="372"/>
      <c r="AJ13" s="372"/>
      <c r="AK13" s="372"/>
      <c r="AL13" s="372"/>
      <c r="AM13" s="373"/>
      <c r="AN13" s="70"/>
      <c r="AO13" s="316"/>
      <c r="AP13" s="317"/>
      <c r="AQ13" s="317"/>
      <c r="AR13" s="317"/>
      <c r="AS13" s="317"/>
      <c r="AT13" s="318"/>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row>
    <row r="14" spans="1:99" ht="15" customHeight="1" x14ac:dyDescent="0.25">
      <c r="A14" s="70"/>
      <c r="B14" s="308"/>
      <c r="C14" s="308"/>
      <c r="D14" s="309"/>
      <c r="E14" s="346" t="s">
        <v>278</v>
      </c>
      <c r="F14" s="347"/>
      <c r="G14" s="347"/>
      <c r="H14" s="347"/>
      <c r="I14" s="347"/>
      <c r="J14" s="383" t="str">
        <f>IF(AND('Mapa final'!$O$7="Alta",'Mapa final'!$S$7="Leve"),CONCATENATE("R",'Mapa final'!$C$7),"")</f>
        <v/>
      </c>
      <c r="K14" s="384"/>
      <c r="L14" s="384" t="str">
        <f>IF(AND('Mapa final'!$O$8="Alta",'Mapa final'!$S$8="Leve"),CONCATENATE("R",'Mapa final'!$C$8),"")</f>
        <v/>
      </c>
      <c r="M14" s="384"/>
      <c r="N14" s="384" t="str">
        <f>IF(AND('Mapa final'!$O$10="Alta",'Mapa final'!$S$10="Leve"),CONCATENATE("R",'Mapa final'!$C$10),"")</f>
        <v/>
      </c>
      <c r="O14" s="385"/>
      <c r="P14" s="383" t="str">
        <f>IF(AND('Mapa final'!$O$7="Alta",'Mapa final'!$S$7="Menor"),CONCATENATE("R",'Mapa final'!$C$7),"")</f>
        <v/>
      </c>
      <c r="Q14" s="384"/>
      <c r="R14" s="384" t="str">
        <f>IF(AND('Mapa final'!$O$8="Alta",'Mapa final'!$S$8="Menor"),CONCATENATE("R",'Mapa final'!$C$8),"")</f>
        <v/>
      </c>
      <c r="S14" s="384"/>
      <c r="T14" s="384" t="str">
        <f>IF(AND('Mapa final'!$O$10="Alta",'Mapa final'!$S$10="Menor"),CONCATENATE("R",'Mapa final'!$C$10),"")</f>
        <v/>
      </c>
      <c r="U14" s="385"/>
      <c r="V14" s="358" t="str">
        <f>IF(AND('Mapa final'!$O$7="Alta",'Mapa final'!$S$7="Moderado"),CONCATENATE("R",'Mapa final'!$C$7),"")</f>
        <v/>
      </c>
      <c r="W14" s="359"/>
      <c r="X14" s="359" t="str">
        <f>IF(AND('Mapa final'!$O$8="Alta",'Mapa final'!$S$8="Moderado"),CONCATENATE("R",'Mapa final'!$C$8),"")</f>
        <v/>
      </c>
      <c r="Y14" s="359"/>
      <c r="Z14" s="359" t="str">
        <f>IF(AND('Mapa final'!$O$10="Alta",'Mapa final'!$S$10="Moderado"),CONCATENATE("R",'Mapa final'!$C$10),"")</f>
        <v/>
      </c>
      <c r="AA14" s="361"/>
      <c r="AB14" s="358" t="str">
        <f>IF(AND('Mapa final'!$O$7="Alta",'Mapa final'!$S$7="Mayor"),CONCATENATE("R",'Mapa final'!$C$7),"")</f>
        <v/>
      </c>
      <c r="AC14" s="359"/>
      <c r="AD14" s="359" t="str">
        <f>IF(AND('Mapa final'!$O$8="Alta",'Mapa final'!$S$8="Mayor"),CONCATENATE("R",'Mapa final'!$C$8),"")</f>
        <v/>
      </c>
      <c r="AE14" s="359"/>
      <c r="AF14" s="359" t="str">
        <f>IF(AND('Mapa final'!$O$10="Alta",'Mapa final'!$S$10="Mayor"),CONCATENATE("R",'Mapa final'!$C$10),"")</f>
        <v/>
      </c>
      <c r="AG14" s="361"/>
      <c r="AH14" s="374" t="str">
        <f>IF(AND('Mapa final'!$O$7="Alta",'Mapa final'!$S$7="Catastrófico"),CONCATENATE("R",'Mapa final'!$C$7),"")</f>
        <v/>
      </c>
      <c r="AI14" s="375"/>
      <c r="AJ14" s="375" t="str">
        <f>IF(AND('Mapa final'!$O$8="Alta",'Mapa final'!$S$8="Catastrófico"),CONCATENATE("R",'Mapa final'!$C$8),"")</f>
        <v/>
      </c>
      <c r="AK14" s="375"/>
      <c r="AL14" s="375" t="str">
        <f>IF(AND('Mapa final'!$O$10="Alta",'Mapa final'!$S$10="Catastrófico"),CONCATENATE("R",'Mapa final'!$C$10),"")</f>
        <v/>
      </c>
      <c r="AM14" s="376"/>
      <c r="AN14" s="70"/>
      <c r="AO14" s="319" t="s">
        <v>279</v>
      </c>
      <c r="AP14" s="320"/>
      <c r="AQ14" s="320"/>
      <c r="AR14" s="320"/>
      <c r="AS14" s="320"/>
      <c r="AT14" s="321"/>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row>
    <row r="15" spans="1:99" ht="15" customHeight="1" x14ac:dyDescent="0.25">
      <c r="A15" s="70"/>
      <c r="B15" s="308"/>
      <c r="C15" s="308"/>
      <c r="D15" s="309"/>
      <c r="E15" s="349"/>
      <c r="F15" s="350"/>
      <c r="G15" s="350"/>
      <c r="H15" s="350"/>
      <c r="I15" s="363"/>
      <c r="J15" s="377"/>
      <c r="K15" s="378"/>
      <c r="L15" s="378"/>
      <c r="M15" s="378"/>
      <c r="N15" s="378"/>
      <c r="O15" s="379"/>
      <c r="P15" s="377"/>
      <c r="Q15" s="378"/>
      <c r="R15" s="378"/>
      <c r="S15" s="378"/>
      <c r="T15" s="378"/>
      <c r="U15" s="379"/>
      <c r="V15" s="360"/>
      <c r="W15" s="357"/>
      <c r="X15" s="357"/>
      <c r="Y15" s="357"/>
      <c r="Z15" s="357"/>
      <c r="AA15" s="356"/>
      <c r="AB15" s="360"/>
      <c r="AC15" s="357"/>
      <c r="AD15" s="357"/>
      <c r="AE15" s="357"/>
      <c r="AF15" s="357"/>
      <c r="AG15" s="356"/>
      <c r="AH15" s="368"/>
      <c r="AI15" s="369"/>
      <c r="AJ15" s="369"/>
      <c r="AK15" s="369"/>
      <c r="AL15" s="369"/>
      <c r="AM15" s="370"/>
      <c r="AN15" s="70"/>
      <c r="AO15" s="322"/>
      <c r="AP15" s="323"/>
      <c r="AQ15" s="323"/>
      <c r="AR15" s="323"/>
      <c r="AS15" s="323"/>
      <c r="AT15" s="324"/>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row>
    <row r="16" spans="1:99" ht="15" customHeight="1" x14ac:dyDescent="0.25">
      <c r="A16" s="70"/>
      <c r="B16" s="308"/>
      <c r="C16" s="308"/>
      <c r="D16" s="309"/>
      <c r="E16" s="349"/>
      <c r="F16" s="350"/>
      <c r="G16" s="350"/>
      <c r="H16" s="350"/>
      <c r="I16" s="363"/>
      <c r="J16" s="377" t="str">
        <f>IF(AND('Mapa final'!$O$12="Alta",'Mapa final'!$S$12="Leve"),CONCATENATE("R",'Mapa final'!$C$12),"")</f>
        <v/>
      </c>
      <c r="K16" s="378"/>
      <c r="L16" s="378" t="str">
        <f>IF(AND('Mapa final'!$O$15="Alta",'Mapa final'!$S$15="Leve"),CONCATENATE("R",'Mapa final'!$C$15),"")</f>
        <v/>
      </c>
      <c r="M16" s="378"/>
      <c r="N16" s="378" t="str">
        <f>IF(AND('Mapa final'!$O$17="Alta",'Mapa final'!$S$17="Leve"),CONCATENATE("R",'Mapa final'!$C$17),"")</f>
        <v/>
      </c>
      <c r="O16" s="379"/>
      <c r="P16" s="377" t="str">
        <f>IF(AND('Mapa final'!$O$12="Alta",'Mapa final'!$S$12="Menor"),CONCATENATE("R",'Mapa final'!$C$12),"")</f>
        <v/>
      </c>
      <c r="Q16" s="378"/>
      <c r="R16" s="378" t="str">
        <f>IF(AND('Mapa final'!$O$15="Alta",'Mapa final'!$S$15="Menor"),CONCATENATE("R",'Mapa final'!$C$15),"")</f>
        <v/>
      </c>
      <c r="S16" s="378"/>
      <c r="T16" s="378" t="str">
        <f>IF(AND('Mapa final'!$O$17="Alta",'Mapa final'!$S$17="Menor"),CONCATENATE("R",'Mapa final'!$C$17),"")</f>
        <v/>
      </c>
      <c r="U16" s="379"/>
      <c r="V16" s="360" t="str">
        <f>IF(AND('Mapa final'!$O$12="Alta",'Mapa final'!$S$12="Moderado"),CONCATENATE("R",'Mapa final'!$C$12),"")</f>
        <v/>
      </c>
      <c r="W16" s="357"/>
      <c r="X16" s="355" t="str">
        <f>IF(AND('Mapa final'!$O$15="Alta",'Mapa final'!$S$15="Moderado"),CONCATENATE("R",'Mapa final'!$C$15),"")</f>
        <v/>
      </c>
      <c r="Y16" s="355"/>
      <c r="Z16" s="355" t="str">
        <f>IF(AND('Mapa final'!$O$17="Alta",'Mapa final'!$S$17="Moderado"),CONCATENATE("R",'Mapa final'!$C$17),"")</f>
        <v/>
      </c>
      <c r="AA16" s="356"/>
      <c r="AB16" s="360" t="str">
        <f>IF(AND('Mapa final'!$O$12="Alta",'Mapa final'!$S$12="Mayor"),CONCATENATE("R",'Mapa final'!$C$12),"")</f>
        <v/>
      </c>
      <c r="AC16" s="357"/>
      <c r="AD16" s="355" t="str">
        <f>IF(AND('Mapa final'!$O$15="Alta",'Mapa final'!$S$15="Mayor"),CONCATENATE("R",'Mapa final'!$C$15),"")</f>
        <v/>
      </c>
      <c r="AE16" s="355"/>
      <c r="AF16" s="355" t="str">
        <f>IF(AND('Mapa final'!$O$17="Alta",'Mapa final'!$S$17="Mayor"),CONCATENATE("R",'Mapa final'!$C$17),"")</f>
        <v/>
      </c>
      <c r="AG16" s="356"/>
      <c r="AH16" s="368" t="str">
        <f>IF(AND('Mapa final'!$O$12="Alta",'Mapa final'!$S$12="Catastrófico"),CONCATENATE("R",'Mapa final'!$C$12),"")</f>
        <v/>
      </c>
      <c r="AI16" s="369"/>
      <c r="AJ16" s="369" t="str">
        <f>IF(AND('Mapa final'!$O$15="Alta",'Mapa final'!$S$15="Catastrófico"),CONCATENATE("R",'Mapa final'!$C$15),"")</f>
        <v/>
      </c>
      <c r="AK16" s="369"/>
      <c r="AL16" s="369" t="str">
        <f>IF(AND('Mapa final'!$O$17="Alta",'Mapa final'!$S$17="Catastrófico"),CONCATENATE("R",'Mapa final'!$C$17),"")</f>
        <v/>
      </c>
      <c r="AM16" s="370"/>
      <c r="AN16" s="70"/>
      <c r="AO16" s="322"/>
      <c r="AP16" s="323"/>
      <c r="AQ16" s="323"/>
      <c r="AR16" s="323"/>
      <c r="AS16" s="323"/>
      <c r="AT16" s="324"/>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row>
    <row r="17" spans="1:80" ht="15" customHeight="1" x14ac:dyDescent="0.25">
      <c r="A17" s="70"/>
      <c r="B17" s="308"/>
      <c r="C17" s="308"/>
      <c r="D17" s="309"/>
      <c r="E17" s="349"/>
      <c r="F17" s="350"/>
      <c r="G17" s="350"/>
      <c r="H17" s="350"/>
      <c r="I17" s="363"/>
      <c r="J17" s="377"/>
      <c r="K17" s="378"/>
      <c r="L17" s="378"/>
      <c r="M17" s="378"/>
      <c r="N17" s="378"/>
      <c r="O17" s="379"/>
      <c r="P17" s="377"/>
      <c r="Q17" s="378"/>
      <c r="R17" s="378"/>
      <c r="S17" s="378"/>
      <c r="T17" s="378"/>
      <c r="U17" s="379"/>
      <c r="V17" s="360"/>
      <c r="W17" s="357"/>
      <c r="X17" s="355"/>
      <c r="Y17" s="355"/>
      <c r="Z17" s="355"/>
      <c r="AA17" s="356"/>
      <c r="AB17" s="360"/>
      <c r="AC17" s="357"/>
      <c r="AD17" s="355"/>
      <c r="AE17" s="355"/>
      <c r="AF17" s="355"/>
      <c r="AG17" s="356"/>
      <c r="AH17" s="368"/>
      <c r="AI17" s="369"/>
      <c r="AJ17" s="369"/>
      <c r="AK17" s="369"/>
      <c r="AL17" s="369"/>
      <c r="AM17" s="370"/>
      <c r="AN17" s="70"/>
      <c r="AO17" s="322"/>
      <c r="AP17" s="323"/>
      <c r="AQ17" s="323"/>
      <c r="AR17" s="323"/>
      <c r="AS17" s="323"/>
      <c r="AT17" s="324"/>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row>
    <row r="18" spans="1:80" ht="15" customHeight="1" x14ac:dyDescent="0.25">
      <c r="A18" s="70"/>
      <c r="B18" s="308"/>
      <c r="C18" s="308"/>
      <c r="D18" s="309"/>
      <c r="E18" s="349"/>
      <c r="F18" s="350"/>
      <c r="G18" s="350"/>
      <c r="H18" s="350"/>
      <c r="I18" s="363"/>
      <c r="J18" s="377" t="str">
        <f>IF(AND('Mapa final'!$O$20="Alta",'Mapa final'!$S$20="Leve"),CONCATENATE("R",'Mapa final'!$C$20),"")</f>
        <v/>
      </c>
      <c r="K18" s="378"/>
      <c r="L18" s="378" t="str">
        <f>IF(AND('Mapa final'!$O$22="Alta",'Mapa final'!$S$22="Leve"),CONCATENATE("R",'Mapa final'!$C$22),"")</f>
        <v/>
      </c>
      <c r="M18" s="378"/>
      <c r="N18" s="378" t="str">
        <f>IF(AND('Mapa final'!$O$26="Alta",'Mapa final'!$S$26="Leve"),CONCATENATE("R",'Mapa final'!$C$26),"")</f>
        <v/>
      </c>
      <c r="O18" s="379"/>
      <c r="P18" s="377" t="str">
        <f>IF(AND('Mapa final'!$O$20="Alta",'Mapa final'!$S$20="Menor"),CONCATENATE("R",'Mapa final'!$C$20),"")</f>
        <v/>
      </c>
      <c r="Q18" s="378"/>
      <c r="R18" s="378" t="str">
        <f>IF(AND('Mapa final'!$O$22="Alta",'Mapa final'!$S$22="Menor"),CONCATENATE("R",'Mapa final'!$C$22),"")</f>
        <v/>
      </c>
      <c r="S18" s="378"/>
      <c r="T18" s="378" t="str">
        <f>IF(AND('Mapa final'!$O$26="Alta",'Mapa final'!$S$26="Menor"),CONCATENATE("R",'Mapa final'!$C$26),"")</f>
        <v/>
      </c>
      <c r="U18" s="379"/>
      <c r="V18" s="360" t="str">
        <f>IF(AND('Mapa final'!$O$20="Alta",'Mapa final'!$S$20="Moderado"),CONCATENATE("R",'Mapa final'!$C$20),"")</f>
        <v/>
      </c>
      <c r="W18" s="357"/>
      <c r="X18" s="355" t="str">
        <f>IF(AND('Mapa final'!$O$22="Alta",'Mapa final'!$S$22="Moderado"),CONCATENATE("R",'Mapa final'!$C$22),"")</f>
        <v/>
      </c>
      <c r="Y18" s="355"/>
      <c r="Z18" s="355" t="str">
        <f>IF(AND('Mapa final'!$O$26="Alta",'Mapa final'!$S$26="Moderado"),CONCATENATE("R",'Mapa final'!$C$26),"")</f>
        <v/>
      </c>
      <c r="AA18" s="356"/>
      <c r="AB18" s="360" t="str">
        <f>IF(AND('Mapa final'!$O$20="Alta",'Mapa final'!$S$20="Mayor"),CONCATENATE("R",'Mapa final'!$C$20),"")</f>
        <v/>
      </c>
      <c r="AC18" s="357"/>
      <c r="AD18" s="355" t="str">
        <f>IF(AND('Mapa final'!$O$22="Alta",'Mapa final'!$S$22="Mayor"),CONCATENATE("R",'Mapa final'!$C$22),"")</f>
        <v/>
      </c>
      <c r="AE18" s="355"/>
      <c r="AF18" s="355" t="str">
        <f>IF(AND('Mapa final'!$O$26="Alta",'Mapa final'!$S$26="Mayor"),CONCATENATE("R",'Mapa final'!$C$26),"")</f>
        <v/>
      </c>
      <c r="AG18" s="356"/>
      <c r="AH18" s="368" t="str">
        <f>IF(AND('Mapa final'!$O$20="Alta",'Mapa final'!$S$20="Catastrófico"),CONCATENATE("R",'Mapa final'!$C$20),"")</f>
        <v/>
      </c>
      <c r="AI18" s="369"/>
      <c r="AJ18" s="369" t="str">
        <f>IF(AND('Mapa final'!$O$22="Alta",'Mapa final'!$S$22="Catastrófico"),CONCATENATE("R",'Mapa final'!$C$22),"")</f>
        <v/>
      </c>
      <c r="AK18" s="369"/>
      <c r="AL18" s="369" t="str">
        <f>IF(AND('Mapa final'!$O$26="Alta",'Mapa final'!$S$26="Catastrófico"),CONCATENATE("R",'Mapa final'!$C$26),"")</f>
        <v/>
      </c>
      <c r="AM18" s="370"/>
      <c r="AN18" s="70"/>
      <c r="AO18" s="322"/>
      <c r="AP18" s="323"/>
      <c r="AQ18" s="323"/>
      <c r="AR18" s="323"/>
      <c r="AS18" s="323"/>
      <c r="AT18" s="324"/>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row>
    <row r="19" spans="1:80" ht="15" customHeight="1" x14ac:dyDescent="0.25">
      <c r="A19" s="70"/>
      <c r="B19" s="308"/>
      <c r="C19" s="308"/>
      <c r="D19" s="309"/>
      <c r="E19" s="349"/>
      <c r="F19" s="350"/>
      <c r="G19" s="350"/>
      <c r="H19" s="350"/>
      <c r="I19" s="363"/>
      <c r="J19" s="377"/>
      <c r="K19" s="378"/>
      <c r="L19" s="378"/>
      <c r="M19" s="378"/>
      <c r="N19" s="378"/>
      <c r="O19" s="379"/>
      <c r="P19" s="377"/>
      <c r="Q19" s="378"/>
      <c r="R19" s="378"/>
      <c r="S19" s="378"/>
      <c r="T19" s="378"/>
      <c r="U19" s="379"/>
      <c r="V19" s="360"/>
      <c r="W19" s="357"/>
      <c r="X19" s="355"/>
      <c r="Y19" s="355"/>
      <c r="Z19" s="355"/>
      <c r="AA19" s="356"/>
      <c r="AB19" s="360"/>
      <c r="AC19" s="357"/>
      <c r="AD19" s="355"/>
      <c r="AE19" s="355"/>
      <c r="AF19" s="355"/>
      <c r="AG19" s="356"/>
      <c r="AH19" s="368"/>
      <c r="AI19" s="369"/>
      <c r="AJ19" s="369"/>
      <c r="AK19" s="369"/>
      <c r="AL19" s="369"/>
      <c r="AM19" s="370"/>
      <c r="AN19" s="70"/>
      <c r="AO19" s="322"/>
      <c r="AP19" s="323"/>
      <c r="AQ19" s="323"/>
      <c r="AR19" s="323"/>
      <c r="AS19" s="323"/>
      <c r="AT19" s="324"/>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row>
    <row r="20" spans="1:80" ht="15" customHeight="1" x14ac:dyDescent="0.25">
      <c r="A20" s="70"/>
      <c r="B20" s="308"/>
      <c r="C20" s="308"/>
      <c r="D20" s="309"/>
      <c r="E20" s="349"/>
      <c r="F20" s="350"/>
      <c r="G20" s="350"/>
      <c r="H20" s="350"/>
      <c r="I20" s="363"/>
      <c r="J20" s="377" t="e">
        <f>IF(AND('Mapa final'!#REF!="Alta",'Mapa final'!#REF!="Leve"),CONCATENATE("R",'Mapa final'!#REF!),"")</f>
        <v>#REF!</v>
      </c>
      <c r="K20" s="378"/>
      <c r="L20" s="378" t="e">
        <f>IF(AND('Mapa final'!#REF!="Alta",'Mapa final'!#REF!="Leve"),CONCATENATE("R",'Mapa final'!#REF!),"")</f>
        <v>#REF!</v>
      </c>
      <c r="M20" s="378"/>
      <c r="N20" s="378" t="str">
        <f ca="1">IF(AND('Mapa final'!$O$32="Alta",'Mapa final'!$S$32="Leve"),CONCATENATE("R",'Mapa final'!$C$32),"")</f>
        <v/>
      </c>
      <c r="O20" s="379"/>
      <c r="P20" s="377" t="e">
        <f>IF(AND('Mapa final'!#REF!="Alta",'Mapa final'!#REF!="Menor"),CONCATENATE("R",'Mapa final'!#REF!),"")</f>
        <v>#REF!</v>
      </c>
      <c r="Q20" s="378"/>
      <c r="R20" s="378" t="e">
        <f>IF(AND('Mapa final'!#REF!="Alta",'Mapa final'!#REF!="Menor"),CONCATENATE("R",'Mapa final'!#REF!),"")</f>
        <v>#REF!</v>
      </c>
      <c r="S20" s="378"/>
      <c r="T20" s="378" t="str">
        <f ca="1">IF(AND('Mapa final'!$O$32="Alta",'Mapa final'!$S$32="Menor"),CONCATENATE("R",'Mapa final'!$C$32),"")</f>
        <v/>
      </c>
      <c r="U20" s="379"/>
      <c r="V20" s="360" t="e">
        <f>IF(AND('Mapa final'!#REF!="Alta",'Mapa final'!#REF!="Moderado"),CONCATENATE("R",'Mapa final'!#REF!),"")</f>
        <v>#REF!</v>
      </c>
      <c r="W20" s="357"/>
      <c r="X20" s="355" t="e">
        <f>IF(AND('Mapa final'!#REF!="Alta",'Mapa final'!#REF!="Moderado"),CONCATENATE("R",'Mapa final'!#REF!),"")</f>
        <v>#REF!</v>
      </c>
      <c r="Y20" s="355"/>
      <c r="Z20" s="355" t="str">
        <f ca="1">IF(AND('Mapa final'!$O$32="Alta",'Mapa final'!$S$32="Moderado"),CONCATENATE("R",'Mapa final'!$C$32),"")</f>
        <v/>
      </c>
      <c r="AA20" s="356"/>
      <c r="AB20" s="360" t="e">
        <f>IF(AND('Mapa final'!#REF!="Alta",'Mapa final'!#REF!="Mayor"),CONCATENATE("R",'Mapa final'!#REF!),"")</f>
        <v>#REF!</v>
      </c>
      <c r="AC20" s="357"/>
      <c r="AD20" s="355" t="e">
        <f>IF(AND('Mapa final'!#REF!="Alta",'Mapa final'!#REF!="Mayor"),CONCATENATE("R",'Mapa final'!#REF!),"")</f>
        <v>#REF!</v>
      </c>
      <c r="AE20" s="355"/>
      <c r="AF20" s="355" t="str">
        <f ca="1">IF(AND('Mapa final'!$O$32="Alta",'Mapa final'!$S$32="Mayor"),CONCATENATE("R",'Mapa final'!$C$32),"")</f>
        <v/>
      </c>
      <c r="AG20" s="356"/>
      <c r="AH20" s="368" t="e">
        <f>IF(AND('Mapa final'!#REF!="Alta",'Mapa final'!#REF!="Catastrófico"),CONCATENATE("R",'Mapa final'!#REF!),"")</f>
        <v>#REF!</v>
      </c>
      <c r="AI20" s="369"/>
      <c r="AJ20" s="369" t="e">
        <f>IF(AND('Mapa final'!#REF!="Alta",'Mapa final'!#REF!="Catastrófico"),CONCATENATE("R",'Mapa final'!#REF!),"")</f>
        <v>#REF!</v>
      </c>
      <c r="AK20" s="369"/>
      <c r="AL20" s="369" t="str">
        <f ca="1">IF(AND('Mapa final'!$O$32="Alta",'Mapa final'!$S$32="Catastrófico"),CONCATENATE("R",'Mapa final'!$C$32),"")</f>
        <v/>
      </c>
      <c r="AM20" s="370"/>
      <c r="AN20" s="70"/>
      <c r="AO20" s="322"/>
      <c r="AP20" s="323"/>
      <c r="AQ20" s="323"/>
      <c r="AR20" s="323"/>
      <c r="AS20" s="323"/>
      <c r="AT20" s="324"/>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row>
    <row r="21" spans="1:80" ht="15.75" customHeight="1" thickBot="1" x14ac:dyDescent="0.3">
      <c r="A21" s="70"/>
      <c r="B21" s="308"/>
      <c r="C21" s="308"/>
      <c r="D21" s="309"/>
      <c r="E21" s="352"/>
      <c r="F21" s="353"/>
      <c r="G21" s="353"/>
      <c r="H21" s="353"/>
      <c r="I21" s="353"/>
      <c r="J21" s="380"/>
      <c r="K21" s="381"/>
      <c r="L21" s="381"/>
      <c r="M21" s="381"/>
      <c r="N21" s="381"/>
      <c r="O21" s="382"/>
      <c r="P21" s="380"/>
      <c r="Q21" s="381"/>
      <c r="R21" s="381"/>
      <c r="S21" s="381"/>
      <c r="T21" s="381"/>
      <c r="U21" s="382"/>
      <c r="V21" s="365"/>
      <c r="W21" s="366"/>
      <c r="X21" s="366"/>
      <c r="Y21" s="366"/>
      <c r="Z21" s="366"/>
      <c r="AA21" s="367"/>
      <c r="AB21" s="365"/>
      <c r="AC21" s="366"/>
      <c r="AD21" s="366"/>
      <c r="AE21" s="366"/>
      <c r="AF21" s="366"/>
      <c r="AG21" s="367"/>
      <c r="AH21" s="371"/>
      <c r="AI21" s="372"/>
      <c r="AJ21" s="372"/>
      <c r="AK21" s="372"/>
      <c r="AL21" s="372"/>
      <c r="AM21" s="373"/>
      <c r="AN21" s="70"/>
      <c r="AO21" s="325"/>
      <c r="AP21" s="326"/>
      <c r="AQ21" s="326"/>
      <c r="AR21" s="326"/>
      <c r="AS21" s="326"/>
      <c r="AT21" s="327"/>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row>
    <row r="22" spans="1:80" x14ac:dyDescent="0.25">
      <c r="A22" s="70"/>
      <c r="B22" s="308"/>
      <c r="C22" s="308"/>
      <c r="D22" s="309"/>
      <c r="E22" s="346" t="s">
        <v>280</v>
      </c>
      <c r="F22" s="347"/>
      <c r="G22" s="347"/>
      <c r="H22" s="347"/>
      <c r="I22" s="348"/>
      <c r="J22" s="383" t="str">
        <f>IF(AND('Mapa final'!$O$7="Media",'Mapa final'!$S$7="Leve"),CONCATENATE("R",'Mapa final'!$C$7),"")</f>
        <v/>
      </c>
      <c r="K22" s="384"/>
      <c r="L22" s="384" t="str">
        <f>IF(AND('Mapa final'!$O$8="Media",'Mapa final'!$S$8="Leve"),CONCATENATE("R",'Mapa final'!$C$8),"")</f>
        <v/>
      </c>
      <c r="M22" s="384"/>
      <c r="N22" s="384" t="str">
        <f>IF(AND('Mapa final'!$O$10="Media",'Mapa final'!$S$10="Leve"),CONCATENATE("R",'Mapa final'!$C$10),"")</f>
        <v/>
      </c>
      <c r="O22" s="385"/>
      <c r="P22" s="383" t="str">
        <f>IF(AND('Mapa final'!$O$7="Media",'Mapa final'!$S$7="Menor"),CONCATENATE("R",'Mapa final'!$C$7),"")</f>
        <v/>
      </c>
      <c r="Q22" s="384"/>
      <c r="R22" s="384" t="str">
        <f>IF(AND('Mapa final'!$O$8="Media",'Mapa final'!$S$8="Menor"),CONCATENATE("R",'Mapa final'!$C$8),"")</f>
        <v/>
      </c>
      <c r="S22" s="384"/>
      <c r="T22" s="384" t="str">
        <f>IF(AND('Mapa final'!$O$10="Media",'Mapa final'!$S$10="Menor"),CONCATENATE("R",'Mapa final'!$C$10),"")</f>
        <v/>
      </c>
      <c r="U22" s="385"/>
      <c r="V22" s="383" t="str">
        <f>IF(AND('Mapa final'!$O$7="Media",'Mapa final'!$S$7="Moderado"),CONCATENATE("R",'Mapa final'!$C$7),"")</f>
        <v/>
      </c>
      <c r="W22" s="384"/>
      <c r="X22" s="384" t="str">
        <f>IF(AND('Mapa final'!$O$8="Media",'Mapa final'!$S$8="Moderado"),CONCATENATE("R",'Mapa final'!$C$8),"")</f>
        <v/>
      </c>
      <c r="Y22" s="384"/>
      <c r="Z22" s="384" t="str">
        <f>IF(AND('Mapa final'!$O$10="Media",'Mapa final'!$S$10="Moderado"),CONCATENATE("R",'Mapa final'!$C$10),"")</f>
        <v>R4</v>
      </c>
      <c r="AA22" s="385"/>
      <c r="AB22" s="358" t="str">
        <f>IF(AND('Mapa final'!$O$7="Media",'Mapa final'!$S$7="Mayor"),CONCATENATE("R",'Mapa final'!$C$7),"")</f>
        <v/>
      </c>
      <c r="AC22" s="359"/>
      <c r="AD22" s="359" t="str">
        <f>IF(AND('Mapa final'!$O$8="Media",'Mapa final'!$S$8="Mayor"),CONCATENATE("R",'Mapa final'!$C$8),"")</f>
        <v/>
      </c>
      <c r="AE22" s="359"/>
      <c r="AF22" s="359" t="str">
        <f>IF(AND('Mapa final'!$O$10="Media",'Mapa final'!$S$10="Mayor"),CONCATENATE("R",'Mapa final'!$C$10),"")</f>
        <v/>
      </c>
      <c r="AG22" s="361"/>
      <c r="AH22" s="374" t="str">
        <f>IF(AND('Mapa final'!$O$7="Media",'Mapa final'!$S$7="Catastrófico"),CONCATENATE("R",'Mapa final'!$C$7),"")</f>
        <v/>
      </c>
      <c r="AI22" s="375"/>
      <c r="AJ22" s="375" t="str">
        <f>IF(AND('Mapa final'!$O$8="Media",'Mapa final'!$S$8="Catastrófico"),CONCATENATE("R",'Mapa final'!$C$8),"")</f>
        <v>R2</v>
      </c>
      <c r="AK22" s="375"/>
      <c r="AL22" s="375" t="str">
        <f>IF(AND('Mapa final'!$O$10="Media",'Mapa final'!$S$10="Catastrófico"),CONCATENATE("R",'Mapa final'!$C$10),"")</f>
        <v/>
      </c>
      <c r="AM22" s="376"/>
      <c r="AN22" s="70"/>
      <c r="AO22" s="328" t="s">
        <v>252</v>
      </c>
      <c r="AP22" s="329"/>
      <c r="AQ22" s="329"/>
      <c r="AR22" s="329"/>
      <c r="AS22" s="329"/>
      <c r="AT22" s="33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row>
    <row r="23" spans="1:80" x14ac:dyDescent="0.25">
      <c r="A23" s="70"/>
      <c r="B23" s="308"/>
      <c r="C23" s="308"/>
      <c r="D23" s="309"/>
      <c r="E23" s="349"/>
      <c r="F23" s="350"/>
      <c r="G23" s="350"/>
      <c r="H23" s="350"/>
      <c r="I23" s="351"/>
      <c r="J23" s="377"/>
      <c r="K23" s="378"/>
      <c r="L23" s="378"/>
      <c r="M23" s="378"/>
      <c r="N23" s="378"/>
      <c r="O23" s="379"/>
      <c r="P23" s="377"/>
      <c r="Q23" s="378"/>
      <c r="R23" s="378"/>
      <c r="S23" s="378"/>
      <c r="T23" s="378"/>
      <c r="U23" s="379"/>
      <c r="V23" s="377"/>
      <c r="W23" s="378"/>
      <c r="X23" s="378"/>
      <c r="Y23" s="378"/>
      <c r="Z23" s="378"/>
      <c r="AA23" s="379"/>
      <c r="AB23" s="360"/>
      <c r="AC23" s="357"/>
      <c r="AD23" s="357"/>
      <c r="AE23" s="357"/>
      <c r="AF23" s="357"/>
      <c r="AG23" s="356"/>
      <c r="AH23" s="368"/>
      <c r="AI23" s="369"/>
      <c r="AJ23" s="369"/>
      <c r="AK23" s="369"/>
      <c r="AL23" s="369"/>
      <c r="AM23" s="370"/>
      <c r="AN23" s="70"/>
      <c r="AO23" s="331"/>
      <c r="AP23" s="332"/>
      <c r="AQ23" s="332"/>
      <c r="AR23" s="332"/>
      <c r="AS23" s="332"/>
      <c r="AT23" s="333"/>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row>
    <row r="24" spans="1:80" x14ac:dyDescent="0.25">
      <c r="A24" s="70"/>
      <c r="B24" s="308"/>
      <c r="C24" s="308"/>
      <c r="D24" s="309"/>
      <c r="E24" s="349"/>
      <c r="F24" s="350"/>
      <c r="G24" s="350"/>
      <c r="H24" s="350"/>
      <c r="I24" s="351"/>
      <c r="J24" s="377" t="str">
        <f>IF(AND('Mapa final'!$O$12="Media",'Mapa final'!$S$12="Leve"),CONCATENATE("R",'Mapa final'!$C$12),"")</f>
        <v/>
      </c>
      <c r="K24" s="378"/>
      <c r="L24" s="378" t="str">
        <f>IF(AND('Mapa final'!$O$15="Media",'Mapa final'!$S$15="Leve"),CONCATENATE("R",'Mapa final'!$C$15),"")</f>
        <v/>
      </c>
      <c r="M24" s="378"/>
      <c r="N24" s="378" t="str">
        <f>IF(AND('Mapa final'!$O$17="Media",'Mapa final'!$S$17="Leve"),CONCATENATE("R",'Mapa final'!$C$17),"")</f>
        <v/>
      </c>
      <c r="O24" s="379"/>
      <c r="P24" s="377" t="str">
        <f>IF(AND('Mapa final'!$O$12="Media",'Mapa final'!$S$12="Menor"),CONCATENATE("R",'Mapa final'!$C$12),"")</f>
        <v/>
      </c>
      <c r="Q24" s="378"/>
      <c r="R24" s="378" t="str">
        <f>IF(AND('Mapa final'!$O$15="Media",'Mapa final'!$S$15="Menor"),CONCATENATE("R",'Mapa final'!$C$15),"")</f>
        <v/>
      </c>
      <c r="S24" s="378"/>
      <c r="T24" s="378" t="str">
        <f>IF(AND('Mapa final'!$O$17="Media",'Mapa final'!$S$17="Menor"),CONCATENATE("R",'Mapa final'!$C$17),"")</f>
        <v/>
      </c>
      <c r="U24" s="379"/>
      <c r="V24" s="377" t="str">
        <f>IF(AND('Mapa final'!$O$12="Media",'Mapa final'!$S$12="Moderado"),CONCATENATE("R",'Mapa final'!$C$12),"")</f>
        <v/>
      </c>
      <c r="W24" s="378"/>
      <c r="X24" s="378" t="str">
        <f>IF(AND('Mapa final'!$O$15="Media",'Mapa final'!$S$15="Moderado"),CONCATENATE("R",'Mapa final'!$C$15),"")</f>
        <v/>
      </c>
      <c r="Y24" s="378"/>
      <c r="Z24" s="378" t="str">
        <f>IF(AND('Mapa final'!$O$17="Media",'Mapa final'!$S$17="Moderado"),CONCATENATE("R",'Mapa final'!$C$17),"")</f>
        <v>R11</v>
      </c>
      <c r="AA24" s="379"/>
      <c r="AB24" s="360" t="str">
        <f>IF(AND('Mapa final'!$O$12="Media",'Mapa final'!$S$12="Mayor"),CONCATENATE("R",'Mapa final'!$C$12),"")</f>
        <v/>
      </c>
      <c r="AC24" s="357"/>
      <c r="AD24" s="355" t="str">
        <f>IF(AND('Mapa final'!$O$15="Media",'Mapa final'!$S$15="Mayor"),CONCATENATE("R",'Mapa final'!$C$15),"")</f>
        <v/>
      </c>
      <c r="AE24" s="355"/>
      <c r="AF24" s="355" t="str">
        <f>IF(AND('Mapa final'!$O$17="Media",'Mapa final'!$S$17="Mayor"),CONCATENATE("R",'Mapa final'!$C$17),"")</f>
        <v/>
      </c>
      <c r="AG24" s="356"/>
      <c r="AH24" s="368" t="str">
        <f>IF(AND('Mapa final'!$O$12="Media",'Mapa final'!$S$12="Catastrófico"),CONCATENATE("R",'Mapa final'!$C$12),"")</f>
        <v/>
      </c>
      <c r="AI24" s="369"/>
      <c r="AJ24" s="369" t="str">
        <f>IF(AND('Mapa final'!$O$15="Media",'Mapa final'!$S$15="Catastrófico"),CONCATENATE("R",'Mapa final'!$C$15),"")</f>
        <v/>
      </c>
      <c r="AK24" s="369"/>
      <c r="AL24" s="369" t="str">
        <f>IF(AND('Mapa final'!$O$17="Media",'Mapa final'!$S$17="Catastrófico"),CONCATENATE("R",'Mapa final'!$C$17),"")</f>
        <v/>
      </c>
      <c r="AM24" s="370"/>
      <c r="AN24" s="70"/>
      <c r="AO24" s="331"/>
      <c r="AP24" s="332"/>
      <c r="AQ24" s="332"/>
      <c r="AR24" s="332"/>
      <c r="AS24" s="332"/>
      <c r="AT24" s="333"/>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row>
    <row r="25" spans="1:80" x14ac:dyDescent="0.25">
      <c r="A25" s="70"/>
      <c r="B25" s="308"/>
      <c r="C25" s="308"/>
      <c r="D25" s="309"/>
      <c r="E25" s="349"/>
      <c r="F25" s="350"/>
      <c r="G25" s="350"/>
      <c r="H25" s="350"/>
      <c r="I25" s="351"/>
      <c r="J25" s="377"/>
      <c r="K25" s="378"/>
      <c r="L25" s="378"/>
      <c r="M25" s="378"/>
      <c r="N25" s="378"/>
      <c r="O25" s="379"/>
      <c r="P25" s="377"/>
      <c r="Q25" s="378"/>
      <c r="R25" s="378"/>
      <c r="S25" s="378"/>
      <c r="T25" s="378"/>
      <c r="U25" s="379"/>
      <c r="V25" s="377"/>
      <c r="W25" s="378"/>
      <c r="X25" s="378"/>
      <c r="Y25" s="378"/>
      <c r="Z25" s="378"/>
      <c r="AA25" s="379"/>
      <c r="AB25" s="360"/>
      <c r="AC25" s="357"/>
      <c r="AD25" s="355"/>
      <c r="AE25" s="355"/>
      <c r="AF25" s="355"/>
      <c r="AG25" s="356"/>
      <c r="AH25" s="368"/>
      <c r="AI25" s="369"/>
      <c r="AJ25" s="369"/>
      <c r="AK25" s="369"/>
      <c r="AL25" s="369"/>
      <c r="AM25" s="370"/>
      <c r="AN25" s="70"/>
      <c r="AO25" s="331"/>
      <c r="AP25" s="332"/>
      <c r="AQ25" s="332"/>
      <c r="AR25" s="332"/>
      <c r="AS25" s="332"/>
      <c r="AT25" s="333"/>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row>
    <row r="26" spans="1:80" x14ac:dyDescent="0.25">
      <c r="A26" s="70"/>
      <c r="B26" s="308"/>
      <c r="C26" s="308"/>
      <c r="D26" s="309"/>
      <c r="E26" s="349"/>
      <c r="F26" s="350"/>
      <c r="G26" s="350"/>
      <c r="H26" s="350"/>
      <c r="I26" s="351"/>
      <c r="J26" s="377" t="str">
        <f>IF(AND('Mapa final'!$O$20="Media",'Mapa final'!$S$20="Leve"),CONCATENATE("R",'Mapa final'!$C$20),"")</f>
        <v/>
      </c>
      <c r="K26" s="378"/>
      <c r="L26" s="378" t="str">
        <f>IF(AND('Mapa final'!$O$22="Media",'Mapa final'!$S$22="Leve"),CONCATENATE("R",'Mapa final'!$C$22),"")</f>
        <v/>
      </c>
      <c r="M26" s="378"/>
      <c r="N26" s="378" t="str">
        <f>IF(AND('Mapa final'!$O$26="Media",'Mapa final'!$S$26="Leve"),CONCATENATE("R",'Mapa final'!$C$26),"")</f>
        <v/>
      </c>
      <c r="O26" s="379"/>
      <c r="P26" s="377" t="str">
        <f>IF(AND('Mapa final'!$O$20="Media",'Mapa final'!$S$20="Menor"),CONCATENATE("R",'Mapa final'!$C$20),"")</f>
        <v/>
      </c>
      <c r="Q26" s="378"/>
      <c r="R26" s="378" t="str">
        <f>IF(AND('Mapa final'!$O$22="Media",'Mapa final'!$S$22="Menor"),CONCATENATE("R",'Mapa final'!$C$22),"")</f>
        <v>R16</v>
      </c>
      <c r="S26" s="378"/>
      <c r="T26" s="378" t="str">
        <f>IF(AND('Mapa final'!$O$26="Media",'Mapa final'!$S$26="Menor"),CONCATENATE("R",'Mapa final'!$C$26),"")</f>
        <v/>
      </c>
      <c r="U26" s="379"/>
      <c r="V26" s="377" t="str">
        <f>IF(AND('Mapa final'!$O$20="Media",'Mapa final'!$S$20="Moderado"),CONCATENATE("R",'Mapa final'!$C$20),"")</f>
        <v>R14</v>
      </c>
      <c r="W26" s="378"/>
      <c r="X26" s="378" t="str">
        <f>IF(AND('Mapa final'!$O$22="Media",'Mapa final'!$S$22="Moderado"),CONCATENATE("R",'Mapa final'!$C$22),"")</f>
        <v/>
      </c>
      <c r="Y26" s="378"/>
      <c r="Z26" s="378" t="str">
        <f>IF(AND('Mapa final'!$O$26="Media",'Mapa final'!$S$26="Moderado"),CONCATENATE("R",'Mapa final'!$C$26),"")</f>
        <v/>
      </c>
      <c r="AA26" s="379"/>
      <c r="AB26" s="360" t="str">
        <f>IF(AND('Mapa final'!$O$20="Media",'Mapa final'!$S$20="Mayor"),CONCATENATE("R",'Mapa final'!$C$20),"")</f>
        <v/>
      </c>
      <c r="AC26" s="357"/>
      <c r="AD26" s="355" t="str">
        <f>IF(AND('Mapa final'!$O$22="Media",'Mapa final'!$S$22="Mayor"),CONCATENATE("R",'Mapa final'!$C$22),"")</f>
        <v/>
      </c>
      <c r="AE26" s="355"/>
      <c r="AF26" s="355" t="str">
        <f>IF(AND('Mapa final'!$O$26="Media",'Mapa final'!$S$26="Mayor"),CONCATENATE("R",'Mapa final'!$C$26),"")</f>
        <v/>
      </c>
      <c r="AG26" s="356"/>
      <c r="AH26" s="368" t="str">
        <f>IF(AND('Mapa final'!$O$20="Media",'Mapa final'!$S$20="Catastrófico"),CONCATENATE("R",'Mapa final'!$C$20),"")</f>
        <v/>
      </c>
      <c r="AI26" s="369"/>
      <c r="AJ26" s="369" t="str">
        <f>IF(AND('Mapa final'!$O$22="Media",'Mapa final'!$S$22="Catastrófico"),CONCATENATE("R",'Mapa final'!$C$22),"")</f>
        <v/>
      </c>
      <c r="AK26" s="369"/>
      <c r="AL26" s="369" t="str">
        <f>IF(AND('Mapa final'!$O$26="Media",'Mapa final'!$S$26="Catastrófico"),CONCATENATE("R",'Mapa final'!$C$26),"")</f>
        <v/>
      </c>
      <c r="AM26" s="370"/>
      <c r="AN26" s="70"/>
      <c r="AO26" s="331"/>
      <c r="AP26" s="332"/>
      <c r="AQ26" s="332"/>
      <c r="AR26" s="332"/>
      <c r="AS26" s="332"/>
      <c r="AT26" s="333"/>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row>
    <row r="27" spans="1:80" x14ac:dyDescent="0.25">
      <c r="A27" s="70"/>
      <c r="B27" s="308"/>
      <c r="C27" s="308"/>
      <c r="D27" s="309"/>
      <c r="E27" s="349"/>
      <c r="F27" s="350"/>
      <c r="G27" s="350"/>
      <c r="H27" s="350"/>
      <c r="I27" s="351"/>
      <c r="J27" s="377"/>
      <c r="K27" s="378"/>
      <c r="L27" s="378"/>
      <c r="M27" s="378"/>
      <c r="N27" s="378"/>
      <c r="O27" s="379"/>
      <c r="P27" s="377"/>
      <c r="Q27" s="378"/>
      <c r="R27" s="378"/>
      <c r="S27" s="378"/>
      <c r="T27" s="378"/>
      <c r="U27" s="379"/>
      <c r="V27" s="377"/>
      <c r="W27" s="378"/>
      <c r="X27" s="378"/>
      <c r="Y27" s="378"/>
      <c r="Z27" s="378"/>
      <c r="AA27" s="379"/>
      <c r="AB27" s="360"/>
      <c r="AC27" s="357"/>
      <c r="AD27" s="355"/>
      <c r="AE27" s="355"/>
      <c r="AF27" s="355"/>
      <c r="AG27" s="356"/>
      <c r="AH27" s="368"/>
      <c r="AI27" s="369"/>
      <c r="AJ27" s="369"/>
      <c r="AK27" s="369"/>
      <c r="AL27" s="369"/>
      <c r="AM27" s="370"/>
      <c r="AN27" s="70"/>
      <c r="AO27" s="331"/>
      <c r="AP27" s="332"/>
      <c r="AQ27" s="332"/>
      <c r="AR27" s="332"/>
      <c r="AS27" s="332"/>
      <c r="AT27" s="333"/>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row>
    <row r="28" spans="1:80" x14ac:dyDescent="0.25">
      <c r="A28" s="70"/>
      <c r="B28" s="308"/>
      <c r="C28" s="308"/>
      <c r="D28" s="309"/>
      <c r="E28" s="349"/>
      <c r="F28" s="350"/>
      <c r="G28" s="350"/>
      <c r="H28" s="350"/>
      <c r="I28" s="351"/>
      <c r="J28" s="377" t="e">
        <f>IF(AND('Mapa final'!#REF!="Media",'Mapa final'!#REF!="Leve"),CONCATENATE("R",'Mapa final'!#REF!),"")</f>
        <v>#REF!</v>
      </c>
      <c r="K28" s="378"/>
      <c r="L28" s="378" t="e">
        <f>IF(AND('Mapa final'!#REF!="Media",'Mapa final'!#REF!="Leve"),CONCATENATE("R",'Mapa final'!#REF!),"")</f>
        <v>#REF!</v>
      </c>
      <c r="M28" s="378"/>
      <c r="N28" s="378" t="str">
        <f ca="1">IF(AND('Mapa final'!$O$32="Media",'Mapa final'!$S$32="Leve"),CONCATENATE("R",'Mapa final'!$C$32),"")</f>
        <v/>
      </c>
      <c r="O28" s="379"/>
      <c r="P28" s="377" t="e">
        <f>IF(AND('Mapa final'!#REF!="Media",'Mapa final'!#REF!="Menor"),CONCATENATE("R",'Mapa final'!#REF!),"")</f>
        <v>#REF!</v>
      </c>
      <c r="Q28" s="378"/>
      <c r="R28" s="378" t="e">
        <f>IF(AND('Mapa final'!#REF!="Media",'Mapa final'!#REF!="Menor"),CONCATENATE("R",'Mapa final'!#REF!),"")</f>
        <v>#REF!</v>
      </c>
      <c r="S28" s="378"/>
      <c r="T28" s="378" t="str">
        <f ca="1">IF(AND('Mapa final'!$O$32="Media",'Mapa final'!$S$32="Menor"),CONCATENATE("R",'Mapa final'!$C$32),"")</f>
        <v>R26</v>
      </c>
      <c r="U28" s="379"/>
      <c r="V28" s="377" t="e">
        <f>IF(AND('Mapa final'!#REF!="Media",'Mapa final'!#REF!="Moderado"),CONCATENATE("R",'Mapa final'!#REF!),"")</f>
        <v>#REF!</v>
      </c>
      <c r="W28" s="378"/>
      <c r="X28" s="378" t="e">
        <f>IF(AND('Mapa final'!#REF!="Media",'Mapa final'!#REF!="Moderado"),CONCATENATE("R",'Mapa final'!#REF!),"")</f>
        <v>#REF!</v>
      </c>
      <c r="Y28" s="378"/>
      <c r="Z28" s="378" t="str">
        <f ca="1">IF(AND('Mapa final'!$O$32="Media",'Mapa final'!$S$32="Moderado"),CONCATENATE("R",'Mapa final'!$C$32),"")</f>
        <v/>
      </c>
      <c r="AA28" s="379"/>
      <c r="AB28" s="360" t="e">
        <f>IF(AND('Mapa final'!#REF!="Media",'Mapa final'!#REF!="Mayor"),CONCATENATE("R",'Mapa final'!#REF!),"")</f>
        <v>#REF!</v>
      </c>
      <c r="AC28" s="357"/>
      <c r="AD28" s="355" t="e">
        <f>IF(AND('Mapa final'!#REF!="Media",'Mapa final'!#REF!="Mayor"),CONCATENATE("R",'Mapa final'!#REF!),"")</f>
        <v>#REF!</v>
      </c>
      <c r="AE28" s="355"/>
      <c r="AF28" s="355" t="str">
        <f ca="1">IF(AND('Mapa final'!$O$32="Media",'Mapa final'!$S$32="Mayor"),CONCATENATE("R",'Mapa final'!$C$32),"")</f>
        <v/>
      </c>
      <c r="AG28" s="356"/>
      <c r="AH28" s="368" t="e">
        <f>IF(AND('Mapa final'!#REF!="Media",'Mapa final'!#REF!="Catastrófico"),CONCATENATE("R",'Mapa final'!#REF!),"")</f>
        <v>#REF!</v>
      </c>
      <c r="AI28" s="369"/>
      <c r="AJ28" s="369" t="e">
        <f>IF(AND('Mapa final'!#REF!="Media",'Mapa final'!#REF!="Catastrófico"),CONCATENATE("R",'Mapa final'!#REF!),"")</f>
        <v>#REF!</v>
      </c>
      <c r="AK28" s="369"/>
      <c r="AL28" s="369" t="str">
        <f ca="1">IF(AND('Mapa final'!$O$32="Media",'Mapa final'!$S$32="Catastrófico"),CONCATENATE("R",'Mapa final'!$C$32),"")</f>
        <v/>
      </c>
      <c r="AM28" s="370"/>
      <c r="AN28" s="70"/>
      <c r="AO28" s="331"/>
      <c r="AP28" s="332"/>
      <c r="AQ28" s="332"/>
      <c r="AR28" s="332"/>
      <c r="AS28" s="332"/>
      <c r="AT28" s="333"/>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row>
    <row r="29" spans="1:80" ht="15.75" thickBot="1" x14ac:dyDescent="0.3">
      <c r="A29" s="70"/>
      <c r="B29" s="308"/>
      <c r="C29" s="308"/>
      <c r="D29" s="309"/>
      <c r="E29" s="352"/>
      <c r="F29" s="353"/>
      <c r="G29" s="353"/>
      <c r="H29" s="353"/>
      <c r="I29" s="354"/>
      <c r="J29" s="377"/>
      <c r="K29" s="378"/>
      <c r="L29" s="378"/>
      <c r="M29" s="378"/>
      <c r="N29" s="378"/>
      <c r="O29" s="379"/>
      <c r="P29" s="380"/>
      <c r="Q29" s="381"/>
      <c r="R29" s="381"/>
      <c r="S29" s="381"/>
      <c r="T29" s="381"/>
      <c r="U29" s="382"/>
      <c r="V29" s="380"/>
      <c r="W29" s="381"/>
      <c r="X29" s="381"/>
      <c r="Y29" s="381"/>
      <c r="Z29" s="381"/>
      <c r="AA29" s="382"/>
      <c r="AB29" s="365"/>
      <c r="AC29" s="366"/>
      <c r="AD29" s="366"/>
      <c r="AE29" s="366"/>
      <c r="AF29" s="366"/>
      <c r="AG29" s="367"/>
      <c r="AH29" s="371"/>
      <c r="AI29" s="372"/>
      <c r="AJ29" s="372"/>
      <c r="AK29" s="372"/>
      <c r="AL29" s="372"/>
      <c r="AM29" s="373"/>
      <c r="AN29" s="70"/>
      <c r="AO29" s="334"/>
      <c r="AP29" s="335"/>
      <c r="AQ29" s="335"/>
      <c r="AR29" s="335"/>
      <c r="AS29" s="335"/>
      <c r="AT29" s="336"/>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row>
    <row r="30" spans="1:80" x14ac:dyDescent="0.25">
      <c r="A30" s="70"/>
      <c r="B30" s="308"/>
      <c r="C30" s="308"/>
      <c r="D30" s="309"/>
      <c r="E30" s="346" t="s">
        <v>281</v>
      </c>
      <c r="F30" s="347"/>
      <c r="G30" s="347"/>
      <c r="H30" s="347"/>
      <c r="I30" s="347"/>
      <c r="J30" s="392" t="str">
        <f>IF(AND('Mapa final'!$O$7="Baja",'Mapa final'!$S$7="Leve"),CONCATENATE("R",'Mapa final'!$C$7),"")</f>
        <v/>
      </c>
      <c r="K30" s="393"/>
      <c r="L30" s="393" t="str">
        <f>IF(AND('Mapa final'!$O$8="Baja",'Mapa final'!$S$8="Leve"),CONCATENATE("R",'Mapa final'!$C$8),"")</f>
        <v/>
      </c>
      <c r="M30" s="393"/>
      <c r="N30" s="393" t="str">
        <f>IF(AND('Mapa final'!$O$10="Baja",'Mapa final'!$S$10="Leve"),CONCATENATE("R",'Mapa final'!$C$10),"")</f>
        <v/>
      </c>
      <c r="O30" s="394"/>
      <c r="P30" s="384" t="str">
        <f>IF(AND('Mapa final'!$O$7="Baja",'Mapa final'!$S$7="Menor"),CONCATENATE("R",'Mapa final'!$C$7),"")</f>
        <v/>
      </c>
      <c r="Q30" s="384"/>
      <c r="R30" s="384" t="str">
        <f>IF(AND('Mapa final'!$O$8="Baja",'Mapa final'!$S$8="Menor"),CONCATENATE("R",'Mapa final'!$C$8),"")</f>
        <v/>
      </c>
      <c r="S30" s="384"/>
      <c r="T30" s="384" t="str">
        <f>IF(AND('Mapa final'!$O$10="Baja",'Mapa final'!$S$10="Menor"),CONCATENATE("R",'Mapa final'!$C$10),"")</f>
        <v/>
      </c>
      <c r="U30" s="385"/>
      <c r="V30" s="383" t="str">
        <f>IF(AND('Mapa final'!$O$7="Baja",'Mapa final'!$S$7="Moderado"),CONCATENATE("R",'Mapa final'!$C$7),"")</f>
        <v>R1</v>
      </c>
      <c r="W30" s="384"/>
      <c r="X30" s="384" t="str">
        <f>IF(AND('Mapa final'!$O$8="Baja",'Mapa final'!$S$8="Moderado"),CONCATENATE("R",'Mapa final'!$C$8),"")</f>
        <v/>
      </c>
      <c r="Y30" s="384"/>
      <c r="Z30" s="384" t="str">
        <f>IF(AND('Mapa final'!$O$10="Baja",'Mapa final'!$S$10="Moderado"),CONCATENATE("R",'Mapa final'!$C$10),"")</f>
        <v/>
      </c>
      <c r="AA30" s="385"/>
      <c r="AB30" s="358" t="str">
        <f>IF(AND('Mapa final'!$O$7="Baja",'Mapa final'!$S$7="Mayor"),CONCATENATE("R",'Mapa final'!$C$7),"")</f>
        <v/>
      </c>
      <c r="AC30" s="359"/>
      <c r="AD30" s="359" t="str">
        <f>IF(AND('Mapa final'!$O$8="Baja",'Mapa final'!$S$8="Mayor"),CONCATENATE("R",'Mapa final'!$C$8),"")</f>
        <v/>
      </c>
      <c r="AE30" s="359"/>
      <c r="AF30" s="359" t="str">
        <f>IF(AND('Mapa final'!$O$10="Baja",'Mapa final'!$S$10="Mayor"),CONCATENATE("R",'Mapa final'!$C$10),"")</f>
        <v/>
      </c>
      <c r="AG30" s="361"/>
      <c r="AH30" s="374" t="str">
        <f>IF(AND('Mapa final'!$O$7="Baja",'Mapa final'!$S$7="Catastrófico"),CONCATENATE("R",'Mapa final'!$C$7),"")</f>
        <v/>
      </c>
      <c r="AI30" s="375"/>
      <c r="AJ30" s="375" t="str">
        <f>IF(AND('Mapa final'!$O$8="Baja",'Mapa final'!$S$8="Catastrófico"),CONCATENATE("R",'Mapa final'!$C$8),"")</f>
        <v/>
      </c>
      <c r="AK30" s="375"/>
      <c r="AL30" s="375" t="str">
        <f>IF(AND('Mapa final'!$O$10="Baja",'Mapa final'!$S$10="Catastrófico"),CONCATENATE("R",'Mapa final'!$C$10),"")</f>
        <v/>
      </c>
      <c r="AM30" s="376"/>
      <c r="AN30" s="70"/>
      <c r="AO30" s="337" t="s">
        <v>282</v>
      </c>
      <c r="AP30" s="338"/>
      <c r="AQ30" s="338"/>
      <c r="AR30" s="338"/>
      <c r="AS30" s="338"/>
      <c r="AT30" s="339"/>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row>
    <row r="31" spans="1:80" x14ac:dyDescent="0.25">
      <c r="A31" s="70"/>
      <c r="B31" s="308"/>
      <c r="C31" s="308"/>
      <c r="D31" s="309"/>
      <c r="E31" s="349"/>
      <c r="F31" s="350"/>
      <c r="G31" s="350"/>
      <c r="H31" s="350"/>
      <c r="I31" s="363"/>
      <c r="J31" s="388"/>
      <c r="K31" s="386"/>
      <c r="L31" s="386"/>
      <c r="M31" s="386"/>
      <c r="N31" s="386"/>
      <c r="O31" s="387"/>
      <c r="P31" s="378"/>
      <c r="Q31" s="378"/>
      <c r="R31" s="378"/>
      <c r="S31" s="378"/>
      <c r="T31" s="378"/>
      <c r="U31" s="379"/>
      <c r="V31" s="377"/>
      <c r="W31" s="378"/>
      <c r="X31" s="378"/>
      <c r="Y31" s="378"/>
      <c r="Z31" s="378"/>
      <c r="AA31" s="379"/>
      <c r="AB31" s="360"/>
      <c r="AC31" s="357"/>
      <c r="AD31" s="357"/>
      <c r="AE31" s="357"/>
      <c r="AF31" s="357"/>
      <c r="AG31" s="356"/>
      <c r="AH31" s="368"/>
      <c r="AI31" s="369"/>
      <c r="AJ31" s="369"/>
      <c r="AK31" s="369"/>
      <c r="AL31" s="369"/>
      <c r="AM31" s="370"/>
      <c r="AN31" s="70"/>
      <c r="AO31" s="340"/>
      <c r="AP31" s="341"/>
      <c r="AQ31" s="341"/>
      <c r="AR31" s="341"/>
      <c r="AS31" s="341"/>
      <c r="AT31" s="342"/>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row>
    <row r="32" spans="1:80" x14ac:dyDescent="0.25">
      <c r="A32" s="70"/>
      <c r="B32" s="308"/>
      <c r="C32" s="308"/>
      <c r="D32" s="309"/>
      <c r="E32" s="349"/>
      <c r="F32" s="350"/>
      <c r="G32" s="350"/>
      <c r="H32" s="350"/>
      <c r="I32" s="363"/>
      <c r="J32" s="388" t="str">
        <f>IF(AND('Mapa final'!$O$12="Baja",'Mapa final'!$S$12="Leve"),CONCATENATE("R",'Mapa final'!$C$12),"")</f>
        <v/>
      </c>
      <c r="K32" s="386"/>
      <c r="L32" s="386" t="str">
        <f>IF(AND('Mapa final'!$O$15="Baja",'Mapa final'!$S$15="Leve"),CONCATENATE("R",'Mapa final'!$C$15),"")</f>
        <v/>
      </c>
      <c r="M32" s="386"/>
      <c r="N32" s="386" t="str">
        <f>IF(AND('Mapa final'!$O$17="Baja",'Mapa final'!$S$17="Leve"),CONCATENATE("R",'Mapa final'!$C$17),"")</f>
        <v/>
      </c>
      <c r="O32" s="387"/>
      <c r="P32" s="378" t="str">
        <f>IF(AND('Mapa final'!$O$12="Baja",'Mapa final'!$S$12="Menor"),CONCATENATE("R",'Mapa final'!$C$12),"")</f>
        <v/>
      </c>
      <c r="Q32" s="378"/>
      <c r="R32" s="378" t="str">
        <f>IF(AND('Mapa final'!$O$15="Baja",'Mapa final'!$S$15="Menor"),CONCATENATE("R",'Mapa final'!$C$15),"")</f>
        <v/>
      </c>
      <c r="S32" s="378"/>
      <c r="T32" s="378" t="str">
        <f>IF(AND('Mapa final'!$O$17="Baja",'Mapa final'!$S$17="Menor"),CONCATENATE("R",'Mapa final'!$C$17),"")</f>
        <v/>
      </c>
      <c r="U32" s="379"/>
      <c r="V32" s="377" t="str">
        <f>IF(AND('Mapa final'!$O$12="Baja",'Mapa final'!$S$12="Moderado"),CONCATENATE("R",'Mapa final'!$C$12),"")</f>
        <v>R6</v>
      </c>
      <c r="W32" s="378"/>
      <c r="X32" s="378" t="str">
        <f>IF(AND('Mapa final'!$O$15="Baja",'Mapa final'!$S$15="Moderado"),CONCATENATE("R",'Mapa final'!$C$15),"")</f>
        <v>R9</v>
      </c>
      <c r="Y32" s="378"/>
      <c r="Z32" s="378" t="str">
        <f>IF(AND('Mapa final'!$O$17="Baja",'Mapa final'!$S$17="Moderado"),CONCATENATE("R",'Mapa final'!$C$17),"")</f>
        <v/>
      </c>
      <c r="AA32" s="379"/>
      <c r="AB32" s="360" t="str">
        <f>IF(AND('Mapa final'!$O$12="Baja",'Mapa final'!$S$12="Mayor"),CONCATENATE("R",'Mapa final'!$C$12),"")</f>
        <v/>
      </c>
      <c r="AC32" s="357"/>
      <c r="AD32" s="355" t="str">
        <f>IF(AND('Mapa final'!$O$15="Baja",'Mapa final'!$S$15="Mayor"),CONCATENATE("R",'Mapa final'!$C$15),"")</f>
        <v/>
      </c>
      <c r="AE32" s="355"/>
      <c r="AF32" s="355" t="str">
        <f>IF(AND('Mapa final'!$O$17="Baja",'Mapa final'!$S$17="Mayor"),CONCATENATE("R",'Mapa final'!$C$17),"")</f>
        <v/>
      </c>
      <c r="AG32" s="356"/>
      <c r="AH32" s="368" t="str">
        <f>IF(AND('Mapa final'!$O$12="Baja",'Mapa final'!$S$12="Catastrófico"),CONCATENATE("R",'Mapa final'!$C$12),"")</f>
        <v/>
      </c>
      <c r="AI32" s="369"/>
      <c r="AJ32" s="369" t="str">
        <f>IF(AND('Mapa final'!$O$15="Baja",'Mapa final'!$S$15="Catastrófico"),CONCATENATE("R",'Mapa final'!$C$15),"")</f>
        <v/>
      </c>
      <c r="AK32" s="369"/>
      <c r="AL32" s="369" t="str">
        <f>IF(AND('Mapa final'!$O$17="Baja",'Mapa final'!$S$17="Catastrófico"),CONCATENATE("R",'Mapa final'!$C$17),"")</f>
        <v/>
      </c>
      <c r="AM32" s="370"/>
      <c r="AN32" s="70"/>
      <c r="AO32" s="340"/>
      <c r="AP32" s="341"/>
      <c r="AQ32" s="341"/>
      <c r="AR32" s="341"/>
      <c r="AS32" s="341"/>
      <c r="AT32" s="342"/>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row>
    <row r="33" spans="1:80" x14ac:dyDescent="0.25">
      <c r="A33" s="70"/>
      <c r="B33" s="308"/>
      <c r="C33" s="308"/>
      <c r="D33" s="309"/>
      <c r="E33" s="349"/>
      <c r="F33" s="350"/>
      <c r="G33" s="350"/>
      <c r="H33" s="350"/>
      <c r="I33" s="363"/>
      <c r="J33" s="388"/>
      <c r="K33" s="386"/>
      <c r="L33" s="386"/>
      <c r="M33" s="386"/>
      <c r="N33" s="386"/>
      <c r="O33" s="387"/>
      <c r="P33" s="378"/>
      <c r="Q33" s="378"/>
      <c r="R33" s="378"/>
      <c r="S33" s="378"/>
      <c r="T33" s="378"/>
      <c r="U33" s="379"/>
      <c r="V33" s="377"/>
      <c r="W33" s="378"/>
      <c r="X33" s="378"/>
      <c r="Y33" s="378"/>
      <c r="Z33" s="378"/>
      <c r="AA33" s="379"/>
      <c r="AB33" s="360"/>
      <c r="AC33" s="357"/>
      <c r="AD33" s="355"/>
      <c r="AE33" s="355"/>
      <c r="AF33" s="355"/>
      <c r="AG33" s="356"/>
      <c r="AH33" s="368"/>
      <c r="AI33" s="369"/>
      <c r="AJ33" s="369"/>
      <c r="AK33" s="369"/>
      <c r="AL33" s="369"/>
      <c r="AM33" s="370"/>
      <c r="AN33" s="70"/>
      <c r="AO33" s="340"/>
      <c r="AP33" s="341"/>
      <c r="AQ33" s="341"/>
      <c r="AR33" s="341"/>
      <c r="AS33" s="341"/>
      <c r="AT33" s="342"/>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row>
    <row r="34" spans="1:80" x14ac:dyDescent="0.25">
      <c r="A34" s="70"/>
      <c r="B34" s="308"/>
      <c r="C34" s="308"/>
      <c r="D34" s="309"/>
      <c r="E34" s="349"/>
      <c r="F34" s="350"/>
      <c r="G34" s="350"/>
      <c r="H34" s="350"/>
      <c r="I34" s="363"/>
      <c r="J34" s="388" t="str">
        <f>IF(AND('Mapa final'!$O$20="Baja",'Mapa final'!$S$20="Leve"),CONCATENATE("R",'Mapa final'!$C$20),"")</f>
        <v/>
      </c>
      <c r="K34" s="386"/>
      <c r="L34" s="386" t="str">
        <f>IF(AND('Mapa final'!$O$22="Baja",'Mapa final'!$S$22="Leve"),CONCATENATE("R",'Mapa final'!$C$22),"")</f>
        <v/>
      </c>
      <c r="M34" s="386"/>
      <c r="N34" s="386" t="str">
        <f>IF(AND('Mapa final'!$O$26="Baja",'Mapa final'!$S$26="Leve"),CONCATENATE("R",'Mapa final'!$C$26),"")</f>
        <v/>
      </c>
      <c r="O34" s="387"/>
      <c r="P34" s="378" t="str">
        <f>IF(AND('Mapa final'!$O$20="Baja",'Mapa final'!$S$20="Menor"),CONCATENATE("R",'Mapa final'!$C$20),"")</f>
        <v/>
      </c>
      <c r="Q34" s="378"/>
      <c r="R34" s="378" t="str">
        <f>IF(AND('Mapa final'!$O$22="Baja",'Mapa final'!$S$22="Menor"),CONCATENATE("R",'Mapa final'!$C$22),"")</f>
        <v/>
      </c>
      <c r="S34" s="378"/>
      <c r="T34" s="378" t="str">
        <f>IF(AND('Mapa final'!$O$26="Baja",'Mapa final'!$S$26="Menor"),CONCATENATE("R",'Mapa final'!$C$26),"")</f>
        <v/>
      </c>
      <c r="U34" s="379"/>
      <c r="V34" s="377" t="str">
        <f>IF(AND('Mapa final'!$O$20="Baja",'Mapa final'!$S$20="Moderado"),CONCATENATE("R",'Mapa final'!$C$20),"")</f>
        <v/>
      </c>
      <c r="W34" s="378"/>
      <c r="X34" s="378" t="str">
        <f>IF(AND('Mapa final'!$O$22="Baja",'Mapa final'!$S$22="Moderado"),CONCATENATE("R",'Mapa final'!$C$22),"")</f>
        <v/>
      </c>
      <c r="Y34" s="378"/>
      <c r="Z34" s="378" t="str">
        <f>IF(AND('Mapa final'!$O$26="Baja",'Mapa final'!$S$26="Moderado"),CONCATENATE("R",'Mapa final'!$C$26),"")</f>
        <v/>
      </c>
      <c r="AA34" s="379"/>
      <c r="AB34" s="360" t="str">
        <f>IF(AND('Mapa final'!$O$20="Baja",'Mapa final'!$S$20="Mayor"),CONCATENATE("R",'Mapa final'!$C$20),"")</f>
        <v/>
      </c>
      <c r="AC34" s="357"/>
      <c r="AD34" s="355" t="str">
        <f>IF(AND('Mapa final'!$O$22="Baja",'Mapa final'!$S$22="Mayor"),CONCATENATE("R",'Mapa final'!$C$22),"")</f>
        <v/>
      </c>
      <c r="AE34" s="355"/>
      <c r="AF34" s="355" t="str">
        <f>IF(AND('Mapa final'!$O$26="Baja",'Mapa final'!$S$26="Mayor"),CONCATENATE("R",'Mapa final'!$C$26),"")</f>
        <v/>
      </c>
      <c r="AG34" s="356"/>
      <c r="AH34" s="368" t="str">
        <f>IF(AND('Mapa final'!$O$20="Baja",'Mapa final'!$S$20="Catastrófico"),CONCATENATE("R",'Mapa final'!$C$20),"")</f>
        <v/>
      </c>
      <c r="AI34" s="369"/>
      <c r="AJ34" s="369" t="str">
        <f>IF(AND('Mapa final'!$O$22="Baja",'Mapa final'!$S$22="Catastrófico"),CONCATENATE("R",'Mapa final'!$C$22),"")</f>
        <v/>
      </c>
      <c r="AK34" s="369"/>
      <c r="AL34" s="369" t="str">
        <f>IF(AND('Mapa final'!$O$26="Baja",'Mapa final'!$S$26="Catastrófico"),CONCATENATE("R",'Mapa final'!$C$26),"")</f>
        <v/>
      </c>
      <c r="AM34" s="370"/>
      <c r="AN34" s="70"/>
      <c r="AO34" s="340"/>
      <c r="AP34" s="341"/>
      <c r="AQ34" s="341"/>
      <c r="AR34" s="341"/>
      <c r="AS34" s="341"/>
      <c r="AT34" s="342"/>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row>
    <row r="35" spans="1:80" x14ac:dyDescent="0.25">
      <c r="A35" s="70"/>
      <c r="B35" s="308"/>
      <c r="C35" s="308"/>
      <c r="D35" s="309"/>
      <c r="E35" s="349"/>
      <c r="F35" s="350"/>
      <c r="G35" s="350"/>
      <c r="H35" s="350"/>
      <c r="I35" s="363"/>
      <c r="J35" s="388"/>
      <c r="K35" s="386"/>
      <c r="L35" s="386"/>
      <c r="M35" s="386"/>
      <c r="N35" s="386"/>
      <c r="O35" s="387"/>
      <c r="P35" s="378"/>
      <c r="Q35" s="378"/>
      <c r="R35" s="378"/>
      <c r="S35" s="378"/>
      <c r="T35" s="378"/>
      <c r="U35" s="379"/>
      <c r="V35" s="377"/>
      <c r="W35" s="378"/>
      <c r="X35" s="378"/>
      <c r="Y35" s="378"/>
      <c r="Z35" s="378"/>
      <c r="AA35" s="379"/>
      <c r="AB35" s="360"/>
      <c r="AC35" s="357"/>
      <c r="AD35" s="355"/>
      <c r="AE35" s="355"/>
      <c r="AF35" s="355"/>
      <c r="AG35" s="356"/>
      <c r="AH35" s="368"/>
      <c r="AI35" s="369"/>
      <c r="AJ35" s="369"/>
      <c r="AK35" s="369"/>
      <c r="AL35" s="369"/>
      <c r="AM35" s="370"/>
      <c r="AN35" s="70"/>
      <c r="AO35" s="340"/>
      <c r="AP35" s="341"/>
      <c r="AQ35" s="341"/>
      <c r="AR35" s="341"/>
      <c r="AS35" s="341"/>
      <c r="AT35" s="342"/>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row>
    <row r="36" spans="1:80" x14ac:dyDescent="0.25">
      <c r="A36" s="70"/>
      <c r="B36" s="308"/>
      <c r="C36" s="308"/>
      <c r="D36" s="309"/>
      <c r="E36" s="349"/>
      <c r="F36" s="350"/>
      <c r="G36" s="350"/>
      <c r="H36" s="350"/>
      <c r="I36" s="363"/>
      <c r="J36" s="388" t="e">
        <f>IF(AND('Mapa final'!#REF!="Baja",'Mapa final'!#REF!="Leve"),CONCATENATE("R",'Mapa final'!#REF!),"")</f>
        <v>#REF!</v>
      </c>
      <c r="K36" s="386"/>
      <c r="L36" s="386" t="e">
        <f>IF(AND('Mapa final'!#REF!="Baja",'Mapa final'!#REF!="Leve"),CONCATENATE("R",'Mapa final'!#REF!),"")</f>
        <v>#REF!</v>
      </c>
      <c r="M36" s="386"/>
      <c r="N36" s="386" t="str">
        <f ca="1">IF(AND('Mapa final'!$O$32="Baja",'Mapa final'!$S$32="Leve"),CONCATENATE("R",'Mapa final'!$C$32),"")</f>
        <v/>
      </c>
      <c r="O36" s="387"/>
      <c r="P36" s="378" t="e">
        <f>IF(AND('Mapa final'!#REF!="Baja",'Mapa final'!#REF!="Menor"),CONCATENATE("R",'Mapa final'!#REF!),"")</f>
        <v>#REF!</v>
      </c>
      <c r="Q36" s="378"/>
      <c r="R36" s="378" t="e">
        <f>IF(AND('Mapa final'!#REF!="Baja",'Mapa final'!#REF!="Menor"),CONCATENATE("R",'Mapa final'!#REF!),"")</f>
        <v>#REF!</v>
      </c>
      <c r="S36" s="378"/>
      <c r="T36" s="378" t="str">
        <f ca="1">IF(AND('Mapa final'!$O$32="Baja",'Mapa final'!$S$32="Menor"),CONCATENATE("R",'Mapa final'!$C$32),"")</f>
        <v/>
      </c>
      <c r="U36" s="379"/>
      <c r="V36" s="377" t="e">
        <f>IF(AND('Mapa final'!#REF!="Baja",'Mapa final'!#REF!="Moderado"),CONCATENATE("R",'Mapa final'!#REF!),"")</f>
        <v>#REF!</v>
      </c>
      <c r="W36" s="378"/>
      <c r="X36" s="378" t="e">
        <f>IF(AND('Mapa final'!#REF!="Baja",'Mapa final'!#REF!="Moderado"),CONCATENATE("R",'Mapa final'!#REF!),"")</f>
        <v>#REF!</v>
      </c>
      <c r="Y36" s="378"/>
      <c r="Z36" s="378" t="str">
        <f ca="1">IF(AND('Mapa final'!$O$32="Baja",'Mapa final'!$S$32="Moderado"),CONCATENATE("R",'Mapa final'!$C$32),"")</f>
        <v/>
      </c>
      <c r="AA36" s="379"/>
      <c r="AB36" s="360" t="e">
        <f>IF(AND('Mapa final'!#REF!="Baja",'Mapa final'!#REF!="Mayor"),CONCATENATE("R",'Mapa final'!#REF!),"")</f>
        <v>#REF!</v>
      </c>
      <c r="AC36" s="357"/>
      <c r="AD36" s="355" t="e">
        <f>IF(AND('Mapa final'!#REF!="Baja",'Mapa final'!#REF!="Mayor"),CONCATENATE("R",'Mapa final'!#REF!),"")</f>
        <v>#REF!</v>
      </c>
      <c r="AE36" s="355"/>
      <c r="AF36" s="355" t="str">
        <f ca="1">IF(AND('Mapa final'!$O$32="Baja",'Mapa final'!$S$32="Mayor"),CONCATENATE("R",'Mapa final'!$C$32),"")</f>
        <v/>
      </c>
      <c r="AG36" s="356"/>
      <c r="AH36" s="368" t="e">
        <f>IF(AND('Mapa final'!#REF!="Baja",'Mapa final'!#REF!="Catastrófico"),CONCATENATE("R",'Mapa final'!#REF!),"")</f>
        <v>#REF!</v>
      </c>
      <c r="AI36" s="369"/>
      <c r="AJ36" s="369" t="e">
        <f>IF(AND('Mapa final'!#REF!="Baja",'Mapa final'!#REF!="Catastrófico"),CONCATENATE("R",'Mapa final'!#REF!),"")</f>
        <v>#REF!</v>
      </c>
      <c r="AK36" s="369"/>
      <c r="AL36" s="369" t="str">
        <f ca="1">IF(AND('Mapa final'!$O$32="Baja",'Mapa final'!$S$32="Catastrófico"),CONCATENATE("R",'Mapa final'!$C$32),"")</f>
        <v/>
      </c>
      <c r="AM36" s="370"/>
      <c r="AN36" s="70"/>
      <c r="AO36" s="340"/>
      <c r="AP36" s="341"/>
      <c r="AQ36" s="341"/>
      <c r="AR36" s="341"/>
      <c r="AS36" s="341"/>
      <c r="AT36" s="342"/>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row>
    <row r="37" spans="1:80" ht="15.75" thickBot="1" x14ac:dyDescent="0.3">
      <c r="A37" s="70"/>
      <c r="B37" s="308"/>
      <c r="C37" s="308"/>
      <c r="D37" s="309"/>
      <c r="E37" s="352"/>
      <c r="F37" s="353"/>
      <c r="G37" s="353"/>
      <c r="H37" s="353"/>
      <c r="I37" s="353"/>
      <c r="J37" s="389"/>
      <c r="K37" s="390"/>
      <c r="L37" s="390"/>
      <c r="M37" s="390"/>
      <c r="N37" s="390"/>
      <c r="O37" s="391"/>
      <c r="P37" s="381"/>
      <c r="Q37" s="381"/>
      <c r="R37" s="381"/>
      <c r="S37" s="381"/>
      <c r="T37" s="381"/>
      <c r="U37" s="382"/>
      <c r="V37" s="380"/>
      <c r="W37" s="381"/>
      <c r="X37" s="381"/>
      <c r="Y37" s="381"/>
      <c r="Z37" s="381"/>
      <c r="AA37" s="382"/>
      <c r="AB37" s="365"/>
      <c r="AC37" s="366"/>
      <c r="AD37" s="366"/>
      <c r="AE37" s="366"/>
      <c r="AF37" s="366"/>
      <c r="AG37" s="367"/>
      <c r="AH37" s="371"/>
      <c r="AI37" s="372"/>
      <c r="AJ37" s="372"/>
      <c r="AK37" s="372"/>
      <c r="AL37" s="372"/>
      <c r="AM37" s="373"/>
      <c r="AN37" s="70"/>
      <c r="AO37" s="343"/>
      <c r="AP37" s="344"/>
      <c r="AQ37" s="344"/>
      <c r="AR37" s="344"/>
      <c r="AS37" s="344"/>
      <c r="AT37" s="345"/>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row>
    <row r="38" spans="1:80" x14ac:dyDescent="0.25">
      <c r="A38" s="70"/>
      <c r="B38" s="308"/>
      <c r="C38" s="308"/>
      <c r="D38" s="309"/>
      <c r="E38" s="346" t="s">
        <v>283</v>
      </c>
      <c r="F38" s="347"/>
      <c r="G38" s="347"/>
      <c r="H38" s="347"/>
      <c r="I38" s="348"/>
      <c r="J38" s="392" t="str">
        <f>IF(AND('Mapa final'!$O$7="Muy Baja",'Mapa final'!$S$7="Leve"),CONCATENATE("R",'Mapa final'!$C$7),"")</f>
        <v/>
      </c>
      <c r="K38" s="393"/>
      <c r="L38" s="393" t="str">
        <f>IF(AND('Mapa final'!$O$8="Muy Baja",'Mapa final'!$S$8="Leve"),CONCATENATE("R",'Mapa final'!$C$8),"")</f>
        <v/>
      </c>
      <c r="M38" s="393"/>
      <c r="N38" s="393" t="str">
        <f>IF(AND('Mapa final'!$O$10="Muy Baja",'Mapa final'!$S$10="Leve"),CONCATENATE("R",'Mapa final'!$C$10),"")</f>
        <v/>
      </c>
      <c r="O38" s="394"/>
      <c r="P38" s="392" t="str">
        <f>IF(AND('Mapa final'!$O$7="Muy Baja",'Mapa final'!$S$7="Menor"),CONCATENATE("R",'Mapa final'!$C$7),"")</f>
        <v/>
      </c>
      <c r="Q38" s="393"/>
      <c r="R38" s="393" t="str">
        <f>IF(AND('Mapa final'!$O$8="Muy Baja",'Mapa final'!$S$8="Menor"),CONCATENATE("R",'Mapa final'!$C$8),"")</f>
        <v/>
      </c>
      <c r="S38" s="393"/>
      <c r="T38" s="393" t="str">
        <f>IF(AND('Mapa final'!$O$10="Muy Baja",'Mapa final'!$S$10="Menor"),CONCATENATE("R",'Mapa final'!$C$10),"")</f>
        <v/>
      </c>
      <c r="U38" s="394"/>
      <c r="V38" s="383" t="str">
        <f>IF(AND('Mapa final'!$O$7="Muy Baja",'Mapa final'!$S$7="Moderado"),CONCATENATE("R",'Mapa final'!$C$7),"")</f>
        <v/>
      </c>
      <c r="W38" s="384"/>
      <c r="X38" s="384" t="str">
        <f>IF(AND('Mapa final'!$O$8="Muy Baja",'Mapa final'!$S$8="Moderado"),CONCATENATE("R",'Mapa final'!$C$8),"")</f>
        <v/>
      </c>
      <c r="Y38" s="384"/>
      <c r="Z38" s="384" t="str">
        <f>IF(AND('Mapa final'!$O$10="Muy Baja",'Mapa final'!$S$10="Moderado"),CONCATENATE("R",'Mapa final'!$C$10),"")</f>
        <v/>
      </c>
      <c r="AA38" s="385"/>
      <c r="AB38" s="358" t="str">
        <f>IF(AND('Mapa final'!$O$7="Muy Baja",'Mapa final'!$S$7="Mayor"),CONCATENATE("R",'Mapa final'!$C$7),"")</f>
        <v/>
      </c>
      <c r="AC38" s="359"/>
      <c r="AD38" s="359" t="str">
        <f>IF(AND('Mapa final'!$O$8="Muy Baja",'Mapa final'!$S$8="Mayor"),CONCATENATE("R",'Mapa final'!$C$8),"")</f>
        <v/>
      </c>
      <c r="AE38" s="359"/>
      <c r="AF38" s="359" t="str">
        <f>IF(AND('Mapa final'!$O$10="Muy Baja",'Mapa final'!$S$10="Mayor"),CONCATENATE("R",'Mapa final'!$C$10),"")</f>
        <v/>
      </c>
      <c r="AG38" s="361"/>
      <c r="AH38" s="374" t="str">
        <f>IF(AND('Mapa final'!$O$7="Muy Baja",'Mapa final'!$S$7="Catastrófico"),CONCATENATE("R",'Mapa final'!$C$7),"")</f>
        <v/>
      </c>
      <c r="AI38" s="375"/>
      <c r="AJ38" s="375" t="str">
        <f>IF(AND('Mapa final'!$O$8="Muy Baja",'Mapa final'!$S$8="Catastrófico"),CONCATENATE("R",'Mapa final'!$C$8),"")</f>
        <v/>
      </c>
      <c r="AK38" s="375"/>
      <c r="AL38" s="375" t="str">
        <f>IF(AND('Mapa final'!$O$10="Muy Baja",'Mapa final'!$S$10="Catastrófico"),CONCATENATE("R",'Mapa final'!$C$10),"")</f>
        <v/>
      </c>
      <c r="AM38" s="376"/>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row>
    <row r="39" spans="1:80" x14ac:dyDescent="0.25">
      <c r="A39" s="70"/>
      <c r="B39" s="308"/>
      <c r="C39" s="308"/>
      <c r="D39" s="309"/>
      <c r="E39" s="349"/>
      <c r="F39" s="350"/>
      <c r="G39" s="350"/>
      <c r="H39" s="350"/>
      <c r="I39" s="351"/>
      <c r="J39" s="388"/>
      <c r="K39" s="386"/>
      <c r="L39" s="386"/>
      <c r="M39" s="386"/>
      <c r="N39" s="386"/>
      <c r="O39" s="387"/>
      <c r="P39" s="388"/>
      <c r="Q39" s="386"/>
      <c r="R39" s="386"/>
      <c r="S39" s="386"/>
      <c r="T39" s="386"/>
      <c r="U39" s="387"/>
      <c r="V39" s="377"/>
      <c r="W39" s="378"/>
      <c r="X39" s="378"/>
      <c r="Y39" s="378"/>
      <c r="Z39" s="378"/>
      <c r="AA39" s="379"/>
      <c r="AB39" s="360"/>
      <c r="AC39" s="357"/>
      <c r="AD39" s="357"/>
      <c r="AE39" s="357"/>
      <c r="AF39" s="357"/>
      <c r="AG39" s="356"/>
      <c r="AH39" s="368"/>
      <c r="AI39" s="369"/>
      <c r="AJ39" s="369"/>
      <c r="AK39" s="369"/>
      <c r="AL39" s="369"/>
      <c r="AM39" s="3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row>
    <row r="40" spans="1:80" x14ac:dyDescent="0.25">
      <c r="A40" s="70"/>
      <c r="B40" s="308"/>
      <c r="C40" s="308"/>
      <c r="D40" s="309"/>
      <c r="E40" s="349"/>
      <c r="F40" s="350"/>
      <c r="G40" s="350"/>
      <c r="H40" s="350"/>
      <c r="I40" s="351"/>
      <c r="J40" s="388" t="str">
        <f>IF(AND('Mapa final'!$O$12="Muy Baja",'Mapa final'!$S$12="Leve"),CONCATENATE("R",'Mapa final'!$C$12),"")</f>
        <v/>
      </c>
      <c r="K40" s="386"/>
      <c r="L40" s="386" t="str">
        <f>IF(AND('Mapa final'!$O$15="Muy Baja",'Mapa final'!$S$15="Leve"),CONCATENATE("R",'Mapa final'!$C$15),"")</f>
        <v/>
      </c>
      <c r="M40" s="386"/>
      <c r="N40" s="386" t="str">
        <f>IF(AND('Mapa final'!$O$17="Muy Baja",'Mapa final'!$S$17="Leve"),CONCATENATE("R",'Mapa final'!$C$17),"")</f>
        <v/>
      </c>
      <c r="O40" s="387"/>
      <c r="P40" s="388" t="str">
        <f>IF(AND('Mapa final'!$O$12="Muy Baja",'Mapa final'!$S$12="Menor"),CONCATENATE("R",'Mapa final'!$C$12),"")</f>
        <v/>
      </c>
      <c r="Q40" s="386"/>
      <c r="R40" s="386" t="str">
        <f>IF(AND('Mapa final'!$O$15="Muy Baja",'Mapa final'!$S$15="Menor"),CONCATENATE("R",'Mapa final'!$C$15),"")</f>
        <v/>
      </c>
      <c r="S40" s="386"/>
      <c r="T40" s="386" t="str">
        <f>IF(AND('Mapa final'!$O$17="Muy Baja",'Mapa final'!$S$17="Menor"),CONCATENATE("R",'Mapa final'!$C$17),"")</f>
        <v/>
      </c>
      <c r="U40" s="387"/>
      <c r="V40" s="377" t="str">
        <f>IF(AND('Mapa final'!$O$12="Muy Baja",'Mapa final'!$S$12="Moderado"),CONCATENATE("R",'Mapa final'!$C$12),"")</f>
        <v/>
      </c>
      <c r="W40" s="378"/>
      <c r="X40" s="378" t="str">
        <f>IF(AND('Mapa final'!$O$15="Muy Baja",'Mapa final'!$S$15="Moderado"),CONCATENATE("R",'Mapa final'!$C$15),"")</f>
        <v/>
      </c>
      <c r="Y40" s="378"/>
      <c r="Z40" s="378" t="str">
        <f>IF(AND('Mapa final'!$O$17="Muy Baja",'Mapa final'!$S$17="Moderado"),CONCATENATE("R",'Mapa final'!$C$17),"")</f>
        <v/>
      </c>
      <c r="AA40" s="379"/>
      <c r="AB40" s="360" t="str">
        <f>IF(AND('Mapa final'!$O$12="Muy Baja",'Mapa final'!$S$12="Mayor"),CONCATENATE("R",'Mapa final'!$C$12),"")</f>
        <v/>
      </c>
      <c r="AC40" s="357"/>
      <c r="AD40" s="355" t="str">
        <f>IF(AND('Mapa final'!$O$15="Muy Baja",'Mapa final'!$S$15="Mayor"),CONCATENATE("R",'Mapa final'!$C$15),"")</f>
        <v/>
      </c>
      <c r="AE40" s="355"/>
      <c r="AF40" s="355" t="str">
        <f>IF(AND('Mapa final'!$O$17="Muy Baja",'Mapa final'!$S$17="Mayor"),CONCATENATE("R",'Mapa final'!$C$17),"")</f>
        <v/>
      </c>
      <c r="AG40" s="356"/>
      <c r="AH40" s="368" t="str">
        <f>IF(AND('Mapa final'!$O$12="Muy Baja",'Mapa final'!$S$12="Catastrófico"),CONCATENATE("R",'Mapa final'!$C$12),"")</f>
        <v/>
      </c>
      <c r="AI40" s="369"/>
      <c r="AJ40" s="369" t="str">
        <f>IF(AND('Mapa final'!$O$15="Muy Baja",'Mapa final'!$S$15="Catastrófico"),CONCATENATE("R",'Mapa final'!$C$15),"")</f>
        <v/>
      </c>
      <c r="AK40" s="369"/>
      <c r="AL40" s="369" t="str">
        <f>IF(AND('Mapa final'!$O$17="Muy Baja",'Mapa final'!$S$17="Catastrófico"),CONCATENATE("R",'Mapa final'!$C$17),"")</f>
        <v/>
      </c>
      <c r="AM40" s="3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row>
    <row r="41" spans="1:80" x14ac:dyDescent="0.25">
      <c r="A41" s="70"/>
      <c r="B41" s="308"/>
      <c r="C41" s="308"/>
      <c r="D41" s="309"/>
      <c r="E41" s="349"/>
      <c r="F41" s="350"/>
      <c r="G41" s="350"/>
      <c r="H41" s="350"/>
      <c r="I41" s="351"/>
      <c r="J41" s="388"/>
      <c r="K41" s="386"/>
      <c r="L41" s="386"/>
      <c r="M41" s="386"/>
      <c r="N41" s="386"/>
      <c r="O41" s="387"/>
      <c r="P41" s="388"/>
      <c r="Q41" s="386"/>
      <c r="R41" s="386"/>
      <c r="S41" s="386"/>
      <c r="T41" s="386"/>
      <c r="U41" s="387"/>
      <c r="V41" s="377"/>
      <c r="W41" s="378"/>
      <c r="X41" s="378"/>
      <c r="Y41" s="378"/>
      <c r="Z41" s="378"/>
      <c r="AA41" s="379"/>
      <c r="AB41" s="360"/>
      <c r="AC41" s="357"/>
      <c r="AD41" s="355"/>
      <c r="AE41" s="355"/>
      <c r="AF41" s="355"/>
      <c r="AG41" s="356"/>
      <c r="AH41" s="368"/>
      <c r="AI41" s="369"/>
      <c r="AJ41" s="369"/>
      <c r="AK41" s="369"/>
      <c r="AL41" s="369"/>
      <c r="AM41" s="3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row>
    <row r="42" spans="1:80" x14ac:dyDescent="0.25">
      <c r="A42" s="70"/>
      <c r="B42" s="308"/>
      <c r="C42" s="308"/>
      <c r="D42" s="309"/>
      <c r="E42" s="349"/>
      <c r="F42" s="350"/>
      <c r="G42" s="350"/>
      <c r="H42" s="350"/>
      <c r="I42" s="351"/>
      <c r="J42" s="388" t="str">
        <f>IF(AND('Mapa final'!$O$20="Muy Baja",'Mapa final'!$S$20="Leve"),CONCATENATE("R",'Mapa final'!$C$20),"")</f>
        <v/>
      </c>
      <c r="K42" s="386"/>
      <c r="L42" s="386" t="str">
        <f>IF(AND('Mapa final'!$O$22="Muy Baja",'Mapa final'!$S$22="Leve"),CONCATENATE("R",'Mapa final'!$C$22),"")</f>
        <v/>
      </c>
      <c r="M42" s="386"/>
      <c r="N42" s="386" t="str">
        <f>IF(AND('Mapa final'!$O$26="Muy Baja",'Mapa final'!$S$26="Leve"),CONCATENATE("R",'Mapa final'!$C$26),"")</f>
        <v/>
      </c>
      <c r="O42" s="387"/>
      <c r="P42" s="388" t="str">
        <f>IF(AND('Mapa final'!$O$20="Muy Baja",'Mapa final'!$S$20="Menor"),CONCATENATE("R",'Mapa final'!$C$20),"")</f>
        <v/>
      </c>
      <c r="Q42" s="386"/>
      <c r="R42" s="386" t="str">
        <f>IF(AND('Mapa final'!$O$22="Muy Baja",'Mapa final'!$S$22="Menor"),CONCATENATE("R",'Mapa final'!$C$22),"")</f>
        <v/>
      </c>
      <c r="S42" s="386"/>
      <c r="T42" s="386" t="str">
        <f>IF(AND('Mapa final'!$O$26="Muy Baja",'Mapa final'!$S$26="Menor"),CONCATENATE("R",'Mapa final'!$C$26),"")</f>
        <v/>
      </c>
      <c r="U42" s="387"/>
      <c r="V42" s="377" t="str">
        <f>IF(AND('Mapa final'!$O$20="Muy Baja",'Mapa final'!$S$20="Moderado"),CONCATENATE("R",'Mapa final'!$C$20),"")</f>
        <v/>
      </c>
      <c r="W42" s="378"/>
      <c r="X42" s="378" t="str">
        <f>IF(AND('Mapa final'!$O$22="Muy Baja",'Mapa final'!$S$22="Moderado"),CONCATENATE("R",'Mapa final'!$C$22),"")</f>
        <v/>
      </c>
      <c r="Y42" s="378"/>
      <c r="Z42" s="378" t="str">
        <f>IF(AND('Mapa final'!$O$26="Muy Baja",'Mapa final'!$S$26="Moderado"),CONCATENATE("R",'Mapa final'!$C$26),"")</f>
        <v>R20</v>
      </c>
      <c r="AA42" s="379"/>
      <c r="AB42" s="360" t="str">
        <f>IF(AND('Mapa final'!$O$20="Muy Baja",'Mapa final'!$S$20="Mayor"),CONCATENATE("R",'Mapa final'!$C$20),"")</f>
        <v/>
      </c>
      <c r="AC42" s="357"/>
      <c r="AD42" s="355" t="str">
        <f>IF(AND('Mapa final'!$O$22="Muy Baja",'Mapa final'!$S$22="Mayor"),CONCATENATE("R",'Mapa final'!$C$22),"")</f>
        <v/>
      </c>
      <c r="AE42" s="355"/>
      <c r="AF42" s="355" t="str">
        <f>IF(AND('Mapa final'!$O$26="Muy Baja",'Mapa final'!$S$26="Mayor"),CONCATENATE("R",'Mapa final'!$C$26),"")</f>
        <v/>
      </c>
      <c r="AG42" s="356"/>
      <c r="AH42" s="368" t="str">
        <f>IF(AND('Mapa final'!$O$20="Muy Baja",'Mapa final'!$S$20="Catastrófico"),CONCATENATE("R",'Mapa final'!$C$20),"")</f>
        <v/>
      </c>
      <c r="AI42" s="369"/>
      <c r="AJ42" s="369" t="str">
        <f>IF(AND('Mapa final'!$O$22="Muy Baja",'Mapa final'!$S$22="Catastrófico"),CONCATENATE("R",'Mapa final'!$C$22),"")</f>
        <v/>
      </c>
      <c r="AK42" s="369"/>
      <c r="AL42" s="369" t="str">
        <f>IF(AND('Mapa final'!$O$26="Muy Baja",'Mapa final'!$S$26="Catastrófico"),CONCATENATE("R",'Mapa final'!$C$26),"")</f>
        <v/>
      </c>
      <c r="AM42" s="3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row>
    <row r="43" spans="1:80" x14ac:dyDescent="0.25">
      <c r="A43" s="70"/>
      <c r="B43" s="308"/>
      <c r="C43" s="308"/>
      <c r="D43" s="309"/>
      <c r="E43" s="349"/>
      <c r="F43" s="350"/>
      <c r="G43" s="350"/>
      <c r="H43" s="350"/>
      <c r="I43" s="351"/>
      <c r="J43" s="388"/>
      <c r="K43" s="386"/>
      <c r="L43" s="386"/>
      <c r="M43" s="386"/>
      <c r="N43" s="386"/>
      <c r="O43" s="387"/>
      <c r="P43" s="388"/>
      <c r="Q43" s="386"/>
      <c r="R43" s="386"/>
      <c r="S43" s="386"/>
      <c r="T43" s="386"/>
      <c r="U43" s="387"/>
      <c r="V43" s="377"/>
      <c r="W43" s="378"/>
      <c r="X43" s="378"/>
      <c r="Y43" s="378"/>
      <c r="Z43" s="378"/>
      <c r="AA43" s="379"/>
      <c r="AB43" s="360"/>
      <c r="AC43" s="357"/>
      <c r="AD43" s="355"/>
      <c r="AE43" s="355"/>
      <c r="AF43" s="355"/>
      <c r="AG43" s="356"/>
      <c r="AH43" s="368"/>
      <c r="AI43" s="369"/>
      <c r="AJ43" s="369"/>
      <c r="AK43" s="369"/>
      <c r="AL43" s="369"/>
      <c r="AM43" s="3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row>
    <row r="44" spans="1:80" x14ac:dyDescent="0.25">
      <c r="A44" s="70"/>
      <c r="B44" s="308"/>
      <c r="C44" s="308"/>
      <c r="D44" s="309"/>
      <c r="E44" s="349"/>
      <c r="F44" s="350"/>
      <c r="G44" s="350"/>
      <c r="H44" s="350"/>
      <c r="I44" s="351"/>
      <c r="J44" s="388" t="e">
        <f>IF(AND('Mapa final'!#REF!="Muy Baja",'Mapa final'!#REF!="Leve"),CONCATENATE("R",'Mapa final'!#REF!),"")</f>
        <v>#REF!</v>
      </c>
      <c r="K44" s="386"/>
      <c r="L44" s="386" t="e">
        <f>IF(AND('Mapa final'!#REF!="Muy Baja",'Mapa final'!#REF!="Leve"),CONCATENATE("R",'Mapa final'!#REF!),"")</f>
        <v>#REF!</v>
      </c>
      <c r="M44" s="386"/>
      <c r="N44" s="386" t="str">
        <f ca="1">IF(AND('Mapa final'!$O$32="Muy Baja",'Mapa final'!$S$32="Leve"),CONCATENATE("R",'Mapa final'!$C$32),"")</f>
        <v/>
      </c>
      <c r="O44" s="387"/>
      <c r="P44" s="388" t="e">
        <f>IF(AND('Mapa final'!#REF!="Muy Baja",'Mapa final'!#REF!="Menor"),CONCATENATE("R",'Mapa final'!#REF!),"")</f>
        <v>#REF!</v>
      </c>
      <c r="Q44" s="386"/>
      <c r="R44" s="386" t="e">
        <f>IF(AND('Mapa final'!#REF!="Muy Baja",'Mapa final'!#REF!="Menor"),CONCATENATE("R",'Mapa final'!#REF!),"")</f>
        <v>#REF!</v>
      </c>
      <c r="S44" s="386"/>
      <c r="T44" s="386" t="str">
        <f ca="1">IF(AND('Mapa final'!$O$32="Muy Baja",'Mapa final'!$S$32="Menor"),CONCATENATE("R",'Mapa final'!$C$32),"")</f>
        <v/>
      </c>
      <c r="U44" s="387"/>
      <c r="V44" s="377" t="e">
        <f>IF(AND('Mapa final'!#REF!="Muy Baja",'Mapa final'!#REF!="Moderado"),CONCATENATE("R",'Mapa final'!#REF!),"")</f>
        <v>#REF!</v>
      </c>
      <c r="W44" s="378"/>
      <c r="X44" s="378" t="e">
        <f>IF(AND('Mapa final'!#REF!="Muy Baja",'Mapa final'!#REF!="Moderado"),CONCATENATE("R",'Mapa final'!#REF!),"")</f>
        <v>#REF!</v>
      </c>
      <c r="Y44" s="378"/>
      <c r="Z44" s="378" t="str">
        <f ca="1">IF(AND('Mapa final'!$O$32="Muy Baja",'Mapa final'!$S$32="Moderado"),CONCATENATE("R",'Mapa final'!$C$32),"")</f>
        <v/>
      </c>
      <c r="AA44" s="379"/>
      <c r="AB44" s="360" t="e">
        <f>IF(AND('Mapa final'!#REF!="Muy Baja",'Mapa final'!#REF!="Mayor"),CONCATENATE("R",'Mapa final'!#REF!),"")</f>
        <v>#REF!</v>
      </c>
      <c r="AC44" s="357"/>
      <c r="AD44" s="355" t="e">
        <f>IF(AND('Mapa final'!#REF!="Muy Baja",'Mapa final'!#REF!="Mayor"),CONCATENATE("R",'Mapa final'!#REF!),"")</f>
        <v>#REF!</v>
      </c>
      <c r="AE44" s="355"/>
      <c r="AF44" s="355" t="str">
        <f ca="1">IF(AND('Mapa final'!$O$32="Muy Baja",'Mapa final'!$S$32="Mayor"),CONCATENATE("R",'Mapa final'!$C$32),"")</f>
        <v/>
      </c>
      <c r="AG44" s="356"/>
      <c r="AH44" s="368" t="e">
        <f>IF(AND('Mapa final'!#REF!="Muy Baja",'Mapa final'!#REF!="Catastrófico"),CONCATENATE("R",'Mapa final'!#REF!),"")</f>
        <v>#REF!</v>
      </c>
      <c r="AI44" s="369"/>
      <c r="AJ44" s="369" t="e">
        <f>IF(AND('Mapa final'!#REF!="Muy Baja",'Mapa final'!#REF!="Catastrófico"),CONCATENATE("R",'Mapa final'!#REF!),"")</f>
        <v>#REF!</v>
      </c>
      <c r="AK44" s="369"/>
      <c r="AL44" s="369" t="str">
        <f ca="1">IF(AND('Mapa final'!$O$32="Muy Baja",'Mapa final'!$S$32="Catastrófico"),CONCATENATE("R",'Mapa final'!$C$32),"")</f>
        <v/>
      </c>
      <c r="AM44" s="3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row>
    <row r="45" spans="1:80" ht="15.75" thickBot="1" x14ac:dyDescent="0.3">
      <c r="A45" s="70"/>
      <c r="B45" s="308"/>
      <c r="C45" s="308"/>
      <c r="D45" s="309"/>
      <c r="E45" s="352"/>
      <c r="F45" s="353"/>
      <c r="G45" s="353"/>
      <c r="H45" s="353"/>
      <c r="I45" s="354"/>
      <c r="J45" s="389"/>
      <c r="K45" s="390"/>
      <c r="L45" s="390"/>
      <c r="M45" s="390"/>
      <c r="N45" s="390"/>
      <c r="O45" s="391"/>
      <c r="P45" s="389"/>
      <c r="Q45" s="390"/>
      <c r="R45" s="390"/>
      <c r="S45" s="390"/>
      <c r="T45" s="390"/>
      <c r="U45" s="391"/>
      <c r="V45" s="380"/>
      <c r="W45" s="381"/>
      <c r="X45" s="381"/>
      <c r="Y45" s="381"/>
      <c r="Z45" s="381"/>
      <c r="AA45" s="382"/>
      <c r="AB45" s="365"/>
      <c r="AC45" s="366"/>
      <c r="AD45" s="366"/>
      <c r="AE45" s="366"/>
      <c r="AF45" s="366"/>
      <c r="AG45" s="367"/>
      <c r="AH45" s="371"/>
      <c r="AI45" s="372"/>
      <c r="AJ45" s="372"/>
      <c r="AK45" s="372"/>
      <c r="AL45" s="372"/>
      <c r="AM45" s="373"/>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row>
    <row r="46" spans="1:80" x14ac:dyDescent="0.25">
      <c r="A46" s="70"/>
      <c r="B46" s="70"/>
      <c r="C46" s="70"/>
      <c r="D46" s="70"/>
      <c r="E46" s="70"/>
      <c r="F46" s="70"/>
      <c r="G46" s="70"/>
      <c r="H46" s="70"/>
      <c r="I46" s="70"/>
      <c r="J46" s="346" t="s">
        <v>284</v>
      </c>
      <c r="K46" s="347"/>
      <c r="L46" s="347"/>
      <c r="M46" s="347"/>
      <c r="N46" s="347"/>
      <c r="O46" s="348"/>
      <c r="P46" s="346" t="s">
        <v>285</v>
      </c>
      <c r="Q46" s="347"/>
      <c r="R46" s="347"/>
      <c r="S46" s="347"/>
      <c r="T46" s="347"/>
      <c r="U46" s="348"/>
      <c r="V46" s="346" t="s">
        <v>286</v>
      </c>
      <c r="W46" s="347"/>
      <c r="X46" s="347"/>
      <c r="Y46" s="347"/>
      <c r="Z46" s="347"/>
      <c r="AA46" s="348"/>
      <c r="AB46" s="346" t="s">
        <v>287</v>
      </c>
      <c r="AC46" s="364"/>
      <c r="AD46" s="347"/>
      <c r="AE46" s="347"/>
      <c r="AF46" s="347"/>
      <c r="AG46" s="348"/>
      <c r="AH46" s="346" t="s">
        <v>288</v>
      </c>
      <c r="AI46" s="347"/>
      <c r="AJ46" s="347"/>
      <c r="AK46" s="347"/>
      <c r="AL46" s="347"/>
      <c r="AM46" s="348"/>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x14ac:dyDescent="0.25">
      <c r="A47" s="70"/>
      <c r="B47" s="70"/>
      <c r="C47" s="70"/>
      <c r="D47" s="70"/>
      <c r="E47" s="70"/>
      <c r="F47" s="70"/>
      <c r="G47" s="70"/>
      <c r="H47" s="70"/>
      <c r="I47" s="70"/>
      <c r="J47" s="349"/>
      <c r="K47" s="350"/>
      <c r="L47" s="350"/>
      <c r="M47" s="350"/>
      <c r="N47" s="350"/>
      <c r="O47" s="351"/>
      <c r="P47" s="349"/>
      <c r="Q47" s="350"/>
      <c r="R47" s="350"/>
      <c r="S47" s="350"/>
      <c r="T47" s="350"/>
      <c r="U47" s="351"/>
      <c r="V47" s="349"/>
      <c r="W47" s="350"/>
      <c r="X47" s="350"/>
      <c r="Y47" s="350"/>
      <c r="Z47" s="350"/>
      <c r="AA47" s="351"/>
      <c r="AB47" s="349"/>
      <c r="AC47" s="350"/>
      <c r="AD47" s="350"/>
      <c r="AE47" s="350"/>
      <c r="AF47" s="350"/>
      <c r="AG47" s="351"/>
      <c r="AH47" s="349"/>
      <c r="AI47" s="350"/>
      <c r="AJ47" s="350"/>
      <c r="AK47" s="350"/>
      <c r="AL47" s="350"/>
      <c r="AM47" s="351"/>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x14ac:dyDescent="0.25">
      <c r="A48" s="70"/>
      <c r="B48" s="70"/>
      <c r="C48" s="70"/>
      <c r="D48" s="70"/>
      <c r="E48" s="70"/>
      <c r="F48" s="70"/>
      <c r="G48" s="70"/>
      <c r="H48" s="70"/>
      <c r="I48" s="70"/>
      <c r="J48" s="349"/>
      <c r="K48" s="350"/>
      <c r="L48" s="350"/>
      <c r="M48" s="350"/>
      <c r="N48" s="350"/>
      <c r="O48" s="351"/>
      <c r="P48" s="349"/>
      <c r="Q48" s="350"/>
      <c r="R48" s="350"/>
      <c r="S48" s="350"/>
      <c r="T48" s="350"/>
      <c r="U48" s="351"/>
      <c r="V48" s="349"/>
      <c r="W48" s="350"/>
      <c r="X48" s="350"/>
      <c r="Y48" s="350"/>
      <c r="Z48" s="350"/>
      <c r="AA48" s="351"/>
      <c r="AB48" s="349"/>
      <c r="AC48" s="350"/>
      <c r="AD48" s="350"/>
      <c r="AE48" s="350"/>
      <c r="AF48" s="350"/>
      <c r="AG48" s="351"/>
      <c r="AH48" s="349"/>
      <c r="AI48" s="350"/>
      <c r="AJ48" s="350"/>
      <c r="AK48" s="350"/>
      <c r="AL48" s="350"/>
      <c r="AM48" s="351"/>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x14ac:dyDescent="0.25">
      <c r="A49" s="70"/>
      <c r="B49" s="70"/>
      <c r="C49" s="70"/>
      <c r="D49" s="70"/>
      <c r="E49" s="70"/>
      <c r="F49" s="70"/>
      <c r="G49" s="70"/>
      <c r="H49" s="70"/>
      <c r="I49" s="70"/>
      <c r="J49" s="349"/>
      <c r="K49" s="350"/>
      <c r="L49" s="350"/>
      <c r="M49" s="350"/>
      <c r="N49" s="350"/>
      <c r="O49" s="351"/>
      <c r="P49" s="349"/>
      <c r="Q49" s="350"/>
      <c r="R49" s="350"/>
      <c r="S49" s="350"/>
      <c r="T49" s="350"/>
      <c r="U49" s="351"/>
      <c r="V49" s="349"/>
      <c r="W49" s="350"/>
      <c r="X49" s="350"/>
      <c r="Y49" s="350"/>
      <c r="Z49" s="350"/>
      <c r="AA49" s="351"/>
      <c r="AB49" s="349"/>
      <c r="AC49" s="350"/>
      <c r="AD49" s="350"/>
      <c r="AE49" s="350"/>
      <c r="AF49" s="350"/>
      <c r="AG49" s="351"/>
      <c r="AH49" s="349"/>
      <c r="AI49" s="350"/>
      <c r="AJ49" s="350"/>
      <c r="AK49" s="350"/>
      <c r="AL49" s="350"/>
      <c r="AM49" s="351"/>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x14ac:dyDescent="0.25">
      <c r="A50" s="70"/>
      <c r="B50" s="70"/>
      <c r="C50" s="70"/>
      <c r="D50" s="70"/>
      <c r="E50" s="70"/>
      <c r="F50" s="70"/>
      <c r="G50" s="70"/>
      <c r="H50" s="70"/>
      <c r="I50" s="70"/>
      <c r="J50" s="349"/>
      <c r="K50" s="350"/>
      <c r="L50" s="350"/>
      <c r="M50" s="350"/>
      <c r="N50" s="350"/>
      <c r="O50" s="351"/>
      <c r="P50" s="349"/>
      <c r="Q50" s="350"/>
      <c r="R50" s="350"/>
      <c r="S50" s="350"/>
      <c r="T50" s="350"/>
      <c r="U50" s="351"/>
      <c r="V50" s="349"/>
      <c r="W50" s="350"/>
      <c r="X50" s="350"/>
      <c r="Y50" s="350"/>
      <c r="Z50" s="350"/>
      <c r="AA50" s="351"/>
      <c r="AB50" s="349"/>
      <c r="AC50" s="350"/>
      <c r="AD50" s="350"/>
      <c r="AE50" s="350"/>
      <c r="AF50" s="350"/>
      <c r="AG50" s="351"/>
      <c r="AH50" s="349"/>
      <c r="AI50" s="350"/>
      <c r="AJ50" s="350"/>
      <c r="AK50" s="350"/>
      <c r="AL50" s="350"/>
      <c r="AM50" s="351"/>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75" thickBot="1" x14ac:dyDescent="0.3">
      <c r="A51" s="70"/>
      <c r="B51" s="70"/>
      <c r="C51" s="70"/>
      <c r="D51" s="70"/>
      <c r="E51" s="70"/>
      <c r="F51" s="70"/>
      <c r="G51" s="70"/>
      <c r="H51" s="70"/>
      <c r="I51" s="70"/>
      <c r="J51" s="352"/>
      <c r="K51" s="353"/>
      <c r="L51" s="353"/>
      <c r="M51" s="353"/>
      <c r="N51" s="353"/>
      <c r="O51" s="354"/>
      <c r="P51" s="352"/>
      <c r="Q51" s="353"/>
      <c r="R51" s="353"/>
      <c r="S51" s="353"/>
      <c r="T51" s="353"/>
      <c r="U51" s="354"/>
      <c r="V51" s="352"/>
      <c r="W51" s="353"/>
      <c r="X51" s="353"/>
      <c r="Y51" s="353"/>
      <c r="Z51" s="353"/>
      <c r="AA51" s="354"/>
      <c r="AB51" s="352"/>
      <c r="AC51" s="353"/>
      <c r="AD51" s="353"/>
      <c r="AE51" s="353"/>
      <c r="AF51" s="353"/>
      <c r="AG51" s="354"/>
      <c r="AH51" s="352"/>
      <c r="AI51" s="353"/>
      <c r="AJ51" s="353"/>
      <c r="AK51" s="353"/>
      <c r="AL51" s="353"/>
      <c r="AM51" s="354"/>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x14ac:dyDescent="0.2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25">
      <c r="A53" s="70"/>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25">
      <c r="A54" s="70"/>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x14ac:dyDescent="0.2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2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2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2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2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2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x14ac:dyDescent="0.2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row>
    <row r="63" spans="1:80" x14ac:dyDescent="0.2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row>
    <row r="64" spans="1:80" x14ac:dyDescent="0.2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row>
    <row r="65" spans="1:80"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row>
    <row r="66" spans="1:80"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row>
    <row r="67" spans="1:80"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row>
    <row r="68" spans="1:8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row>
    <row r="69" spans="1:8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row>
    <row r="70" spans="1:8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row>
    <row r="71" spans="1:8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row>
    <row r="72" spans="1:8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row>
    <row r="73" spans="1:80"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row>
    <row r="74" spans="1:8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row>
    <row r="75" spans="1:8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row>
    <row r="76" spans="1:8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row>
    <row r="77" spans="1:8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row>
    <row r="78" spans="1:8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row>
    <row r="79" spans="1:8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row>
    <row r="80" spans="1:8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row>
    <row r="81" spans="1:63"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row>
    <row r="82" spans="1:63"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row>
    <row r="83" spans="1:63"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row>
    <row r="84" spans="1:63"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row>
    <row r="85" spans="1:63"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row>
    <row r="86" spans="1:63"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row>
    <row r="87" spans="1:63"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row>
    <row r="88" spans="1:63"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row>
    <row r="89" spans="1:63"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row>
    <row r="90" spans="1:63"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row>
    <row r="91" spans="1:63"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row>
    <row r="92" spans="1:63"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row>
    <row r="93" spans="1:63"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row>
    <row r="94" spans="1:63"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row>
    <row r="95" spans="1:63"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row>
    <row r="96" spans="1:63"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row>
    <row r="97" spans="1:63"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row>
    <row r="98" spans="1:63"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row>
    <row r="99" spans="1:63"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row>
    <row r="100" spans="1:63"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row>
    <row r="101" spans="1:63"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row>
    <row r="102" spans="1:63"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row>
    <row r="103" spans="1:63"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row>
    <row r="104" spans="1:63"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row>
    <row r="105" spans="1:63"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row>
    <row r="106" spans="1:63"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row>
    <row r="107" spans="1:63"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row>
    <row r="108" spans="1:63"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row>
    <row r="109" spans="1:63"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row>
    <row r="110" spans="1:63"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row>
    <row r="111" spans="1:63"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row>
    <row r="112" spans="1:63"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row>
    <row r="113" spans="1:63"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row>
    <row r="114" spans="1:63"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row>
    <row r="115" spans="1:63"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row>
    <row r="116" spans="1:63"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row>
    <row r="117" spans="1:63"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row>
    <row r="118" spans="1:63"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row>
    <row r="119" spans="1:63"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row>
    <row r="120" spans="1:63"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row>
    <row r="121" spans="1:63"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row>
    <row r="122" spans="1:63" x14ac:dyDescent="0.25">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row>
    <row r="123" spans="1:63" x14ac:dyDescent="0.25">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row>
    <row r="124" spans="1:63" x14ac:dyDescent="0.25">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row>
    <row r="125" spans="1:63" x14ac:dyDescent="0.25">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row>
    <row r="126" spans="1:63" x14ac:dyDescent="0.25">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row>
    <row r="127" spans="1:63" x14ac:dyDescent="0.25">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row>
    <row r="128" spans="1:63" x14ac:dyDescent="0.25">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row>
    <row r="129" spans="2:63" x14ac:dyDescent="0.25">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row>
    <row r="130" spans="2:63" x14ac:dyDescent="0.25">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row>
    <row r="131" spans="2:63" x14ac:dyDescent="0.25">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row>
    <row r="132" spans="2:63" x14ac:dyDescent="0.25">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row>
    <row r="133" spans="2:63" x14ac:dyDescent="0.25">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row>
    <row r="134" spans="2:63" x14ac:dyDescent="0.25">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row>
    <row r="135" spans="2:63" x14ac:dyDescent="0.25">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row>
    <row r="136" spans="2:63" x14ac:dyDescent="0.25">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row>
    <row r="137" spans="2:63" x14ac:dyDescent="0.25">
      <c r="B137" s="70"/>
      <c r="C137" s="70"/>
      <c r="D137" s="70"/>
      <c r="E137" s="70"/>
      <c r="F137" s="70"/>
      <c r="G137" s="70"/>
      <c r="H137" s="70"/>
      <c r="I137" s="70"/>
    </row>
    <row r="138" spans="2:63" x14ac:dyDescent="0.25">
      <c r="B138" s="70"/>
      <c r="C138" s="70"/>
      <c r="D138" s="70"/>
      <c r="E138" s="70"/>
      <c r="F138" s="70"/>
      <c r="G138" s="70"/>
      <c r="H138" s="70"/>
      <c r="I138" s="70"/>
    </row>
    <row r="139" spans="2:63" x14ac:dyDescent="0.25">
      <c r="B139" s="70"/>
      <c r="C139" s="70"/>
      <c r="D139" s="70"/>
      <c r="E139" s="70"/>
      <c r="F139" s="70"/>
      <c r="G139" s="70"/>
      <c r="H139" s="70"/>
      <c r="I139" s="70"/>
    </row>
    <row r="140" spans="2:63" x14ac:dyDescent="0.25">
      <c r="B140" s="70"/>
      <c r="C140" s="70"/>
      <c r="D140" s="70"/>
      <c r="E140" s="70"/>
      <c r="F140" s="70"/>
      <c r="G140" s="70"/>
      <c r="H140" s="70"/>
      <c r="I140" s="70"/>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CM248"/>
  <sheetViews>
    <sheetView zoomScale="50" zoomScaleNormal="50" workbookViewId="0">
      <selection activeCell="W46" sqref="W4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row>
    <row r="2" spans="1:91" ht="18" customHeight="1" x14ac:dyDescent="0.25">
      <c r="A2" s="70"/>
      <c r="B2" s="422" t="s">
        <v>289</v>
      </c>
      <c r="C2" s="423"/>
      <c r="D2" s="423"/>
      <c r="E2" s="423"/>
      <c r="F2" s="423"/>
      <c r="G2" s="423"/>
      <c r="H2" s="423"/>
      <c r="I2" s="423"/>
      <c r="J2" s="362" t="s">
        <v>19</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row>
    <row r="3" spans="1:91" ht="18.75" customHeight="1" x14ac:dyDescent="0.25">
      <c r="A3" s="70"/>
      <c r="B3" s="423"/>
      <c r="C3" s="423"/>
      <c r="D3" s="423"/>
      <c r="E3" s="423"/>
      <c r="F3" s="423"/>
      <c r="G3" s="423"/>
      <c r="H3" s="423"/>
      <c r="I3" s="423"/>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row>
    <row r="4" spans="1:91" ht="15" customHeight="1" x14ac:dyDescent="0.25">
      <c r="A4" s="70"/>
      <c r="B4" s="423"/>
      <c r="C4" s="423"/>
      <c r="D4" s="423"/>
      <c r="E4" s="423"/>
      <c r="F4" s="423"/>
      <c r="G4" s="423"/>
      <c r="H4" s="423"/>
      <c r="I4" s="423"/>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row>
    <row r="5" spans="1:91" ht="15.75" thickBot="1" x14ac:dyDescent="0.3">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row>
    <row r="6" spans="1:91" ht="15" customHeight="1" x14ac:dyDescent="0.25">
      <c r="A6" s="70"/>
      <c r="B6" s="308" t="s">
        <v>249</v>
      </c>
      <c r="C6" s="308"/>
      <c r="D6" s="309"/>
      <c r="E6" s="405" t="s">
        <v>276</v>
      </c>
      <c r="F6" s="406"/>
      <c r="G6" s="406"/>
      <c r="H6" s="406"/>
      <c r="I6" s="424"/>
      <c r="J6" s="32" t="str">
        <f>IF(AND('Mapa final'!$AJ$7="Muy Alta",'Mapa final'!$AL$7="Leve"),CONCATENATE("R1C",'Mapa final'!$V$7),"")</f>
        <v/>
      </c>
      <c r="K6" s="33" t="e">
        <f>IF(AND('Mapa final'!#REF!="Muy Alta",'Mapa final'!#REF!="Leve"),CONCATENATE("R1C",'Mapa final'!#REF!),"")</f>
        <v>#REF!</v>
      </c>
      <c r="L6" s="33" t="e">
        <f>IF(AND('Mapa final'!#REF!="Muy Alta",'Mapa final'!#REF!="Leve"),CONCATENATE("R1C",'Mapa final'!#REF!),"")</f>
        <v>#REF!</v>
      </c>
      <c r="M6" s="33" t="e">
        <f>IF(AND('Mapa final'!#REF!="Muy Alta",'Mapa final'!#REF!="Leve"),CONCATENATE("R1C",'Mapa final'!#REF!),"")</f>
        <v>#REF!</v>
      </c>
      <c r="N6" s="33" t="e">
        <f>IF(AND('Mapa final'!#REF!="Muy Alta",'Mapa final'!#REF!="Leve"),CONCATENATE("R1C",'Mapa final'!#REF!),"")</f>
        <v>#REF!</v>
      </c>
      <c r="O6" s="34" t="e">
        <f>IF(AND('Mapa final'!#REF!="Muy Alta",'Mapa final'!#REF!="Leve"),CONCATENATE("R1C",'Mapa final'!#REF!),"")</f>
        <v>#REF!</v>
      </c>
      <c r="P6" s="32" t="str">
        <f>IF(AND('Mapa final'!$AJ$7="Muy Alta",'Mapa final'!$AL$7="Menor"),CONCATENATE("R1C",'Mapa final'!$V$7),"")</f>
        <v/>
      </c>
      <c r="Q6" s="33" t="e">
        <f>IF(AND('Mapa final'!#REF!="Muy Alta",'Mapa final'!#REF!="Menor"),CONCATENATE("R1C",'Mapa final'!#REF!),"")</f>
        <v>#REF!</v>
      </c>
      <c r="R6" s="33" t="e">
        <f>IF(AND('Mapa final'!#REF!="Muy Alta",'Mapa final'!#REF!="Menor"),CONCATENATE("R1C",'Mapa final'!#REF!),"")</f>
        <v>#REF!</v>
      </c>
      <c r="S6" s="33" t="e">
        <f>IF(AND('Mapa final'!#REF!="Muy Alta",'Mapa final'!#REF!="Menor"),CONCATENATE("R1C",'Mapa final'!#REF!),"")</f>
        <v>#REF!</v>
      </c>
      <c r="T6" s="33" t="e">
        <f>IF(AND('Mapa final'!#REF!="Muy Alta",'Mapa final'!#REF!="Menor"),CONCATENATE("R1C",'Mapa final'!#REF!),"")</f>
        <v>#REF!</v>
      </c>
      <c r="U6" s="34" t="e">
        <f>IF(AND('Mapa final'!#REF!="Muy Alta",'Mapa final'!#REF!="Menor"),CONCATENATE("R1C",'Mapa final'!#REF!),"")</f>
        <v>#REF!</v>
      </c>
      <c r="V6" s="32" t="str">
        <f>IF(AND('Mapa final'!$AJ$7="Muy Alta",'Mapa final'!$AL$7="Moderado"),CONCATENATE("R1C",'Mapa final'!$V$7),"")</f>
        <v/>
      </c>
      <c r="W6" s="33" t="e">
        <f>IF(AND('Mapa final'!#REF!="Muy Alta",'Mapa final'!#REF!="Moderado"),CONCATENATE("R1C",'Mapa final'!#REF!),"")</f>
        <v>#REF!</v>
      </c>
      <c r="X6" s="33" t="e">
        <f>IF(AND('Mapa final'!#REF!="Muy Alta",'Mapa final'!#REF!="Moderado"),CONCATENATE("R1C",'Mapa final'!#REF!),"")</f>
        <v>#REF!</v>
      </c>
      <c r="Y6" s="33" t="e">
        <f>IF(AND('Mapa final'!#REF!="Muy Alta",'Mapa final'!#REF!="Moderado"),CONCATENATE("R1C",'Mapa final'!#REF!),"")</f>
        <v>#REF!</v>
      </c>
      <c r="Z6" s="33" t="e">
        <f>IF(AND('Mapa final'!#REF!="Muy Alta",'Mapa final'!#REF!="Moderado"),CONCATENATE("R1C",'Mapa final'!#REF!),"")</f>
        <v>#REF!</v>
      </c>
      <c r="AA6" s="34" t="e">
        <f>IF(AND('Mapa final'!#REF!="Muy Alta",'Mapa final'!#REF!="Moderado"),CONCATENATE("R1C",'Mapa final'!#REF!),"")</f>
        <v>#REF!</v>
      </c>
      <c r="AB6" s="32" t="str">
        <f>IF(AND('Mapa final'!$AJ$7="Muy Alta",'Mapa final'!$AL$7="Mayor"),CONCATENATE("R1C",'Mapa final'!$V$7),"")</f>
        <v/>
      </c>
      <c r="AC6" s="33" t="e">
        <f>IF(AND('Mapa final'!#REF!="Muy Alta",'Mapa final'!#REF!="Mayor"),CONCATENATE("R1C",'Mapa final'!#REF!),"")</f>
        <v>#REF!</v>
      </c>
      <c r="AD6" s="33" t="e">
        <f>IF(AND('Mapa final'!#REF!="Muy Alta",'Mapa final'!#REF!="Mayor"),CONCATENATE("R1C",'Mapa final'!#REF!),"")</f>
        <v>#REF!</v>
      </c>
      <c r="AE6" s="33" t="e">
        <f>IF(AND('Mapa final'!#REF!="Muy Alta",'Mapa final'!#REF!="Mayor"),CONCATENATE("R1C",'Mapa final'!#REF!),"")</f>
        <v>#REF!</v>
      </c>
      <c r="AF6" s="33" t="e">
        <f>IF(AND('Mapa final'!#REF!="Muy Alta",'Mapa final'!#REF!="Mayor"),CONCATENATE("R1C",'Mapa final'!#REF!),"")</f>
        <v>#REF!</v>
      </c>
      <c r="AG6" s="34" t="e">
        <f>IF(AND('Mapa final'!#REF!="Muy Alta",'Mapa final'!#REF!="Mayor"),CONCATENATE("R1C",'Mapa final'!#REF!),"")</f>
        <v>#REF!</v>
      </c>
      <c r="AH6" s="35" t="str">
        <f>IF(AND('Mapa final'!$AJ$7="Muy Alta",'Mapa final'!$AL$7="Catastrófico"),CONCATENATE("R1C",'Mapa final'!$V$7),"")</f>
        <v/>
      </c>
      <c r="AI6" s="36" t="e">
        <f>IF(AND('Mapa final'!#REF!="Muy Alta",'Mapa final'!#REF!="Catastrófico"),CONCATENATE("R1C",'Mapa final'!#REF!),"")</f>
        <v>#REF!</v>
      </c>
      <c r="AJ6" s="36" t="e">
        <f>IF(AND('Mapa final'!#REF!="Muy Alta",'Mapa final'!#REF!="Catastrófico"),CONCATENATE("R1C",'Mapa final'!#REF!),"")</f>
        <v>#REF!</v>
      </c>
      <c r="AK6" s="36" t="e">
        <f>IF(AND('Mapa final'!#REF!="Muy Alta",'Mapa final'!#REF!="Catastrófico"),CONCATENATE("R1C",'Mapa final'!#REF!),"")</f>
        <v>#REF!</v>
      </c>
      <c r="AL6" s="36" t="e">
        <f>IF(AND('Mapa final'!#REF!="Muy Alta",'Mapa final'!#REF!="Catastrófico"),CONCATENATE("R1C",'Mapa final'!#REF!),"")</f>
        <v>#REF!</v>
      </c>
      <c r="AM6" s="37" t="e">
        <f>IF(AND('Mapa final'!#REF!="Muy Alta",'Mapa final'!#REF!="Catastrófico"),CONCATENATE("R1C",'Mapa final'!#REF!),"")</f>
        <v>#REF!</v>
      </c>
      <c r="AN6" s="70"/>
      <c r="AO6" s="413" t="s">
        <v>277</v>
      </c>
      <c r="AP6" s="414"/>
      <c r="AQ6" s="414"/>
      <c r="AR6" s="414"/>
      <c r="AS6" s="414"/>
      <c r="AT6" s="415"/>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row>
    <row r="7" spans="1:91" ht="15" customHeight="1" x14ac:dyDescent="0.25">
      <c r="A7" s="70"/>
      <c r="B7" s="308"/>
      <c r="C7" s="308"/>
      <c r="D7" s="309"/>
      <c r="E7" s="409"/>
      <c r="F7" s="410"/>
      <c r="G7" s="410"/>
      <c r="H7" s="410"/>
      <c r="I7" s="425"/>
      <c r="J7" s="38" t="str">
        <f>IF(AND('Mapa final'!$AJ$8="Muy Alta",'Mapa final'!$AL$8="Leve"),CONCATENATE("R2C",'Mapa final'!$V$8),"")</f>
        <v/>
      </c>
      <c r="K7" s="39" t="str">
        <f>IF(AND('Mapa final'!$AJ$9="Muy Alta",'Mapa final'!$AL$9="Leve"),CONCATENATE("R2C",'Mapa final'!$V$9),"")</f>
        <v/>
      </c>
      <c r="L7" s="39" t="e">
        <f>IF(AND('Mapa final'!#REF!="Muy Alta",'Mapa final'!#REF!="Leve"),CONCATENATE("R2C",'Mapa final'!#REF!),"")</f>
        <v>#REF!</v>
      </c>
      <c r="M7" s="39" t="e">
        <f>IF(AND('Mapa final'!#REF!="Muy Alta",'Mapa final'!#REF!="Leve"),CONCATENATE("R2C",'Mapa final'!#REF!),"")</f>
        <v>#REF!</v>
      </c>
      <c r="N7" s="39" t="e">
        <f>IF(AND('Mapa final'!#REF!="Muy Alta",'Mapa final'!#REF!="Leve"),CONCATENATE("R2C",'Mapa final'!#REF!),"")</f>
        <v>#REF!</v>
      </c>
      <c r="O7" s="40" t="e">
        <f>IF(AND('Mapa final'!#REF!="Muy Alta",'Mapa final'!#REF!="Leve"),CONCATENATE("R2C",'Mapa final'!#REF!),"")</f>
        <v>#REF!</v>
      </c>
      <c r="P7" s="38" t="str">
        <f>IF(AND('Mapa final'!$AJ$8="Muy Alta",'Mapa final'!$AL$8="Menor"),CONCATENATE("R2C",'Mapa final'!$V$8),"")</f>
        <v/>
      </c>
      <c r="Q7" s="39" t="str">
        <f>IF(AND('Mapa final'!$AJ$9="Muy Alta",'Mapa final'!$AL$9="Menor"),CONCATENATE("R2C",'Mapa final'!$V$9),"")</f>
        <v/>
      </c>
      <c r="R7" s="39" t="e">
        <f>IF(AND('Mapa final'!#REF!="Muy Alta",'Mapa final'!#REF!="Menor"),CONCATENATE("R2C",'Mapa final'!#REF!),"")</f>
        <v>#REF!</v>
      </c>
      <c r="S7" s="39" t="e">
        <f>IF(AND('Mapa final'!#REF!="Muy Alta",'Mapa final'!#REF!="Menor"),CONCATENATE("R2C",'Mapa final'!#REF!),"")</f>
        <v>#REF!</v>
      </c>
      <c r="T7" s="39" t="e">
        <f>IF(AND('Mapa final'!#REF!="Muy Alta",'Mapa final'!#REF!="Menor"),CONCATENATE("R2C",'Mapa final'!#REF!),"")</f>
        <v>#REF!</v>
      </c>
      <c r="U7" s="40" t="e">
        <f>IF(AND('Mapa final'!#REF!="Muy Alta",'Mapa final'!#REF!="Menor"),CONCATENATE("R2C",'Mapa final'!#REF!),"")</f>
        <v>#REF!</v>
      </c>
      <c r="V7" s="38" t="str">
        <f>IF(AND('Mapa final'!$AJ$8="Muy Alta",'Mapa final'!$AL$8="Moderado"),CONCATENATE("R2C",'Mapa final'!$V$8),"")</f>
        <v/>
      </c>
      <c r="W7" s="39" t="str">
        <f>IF(AND('Mapa final'!$AJ$9="Muy Alta",'Mapa final'!$AL$9="Moderado"),CONCATENATE("R2C",'Mapa final'!$V$9),"")</f>
        <v/>
      </c>
      <c r="X7" s="39" t="e">
        <f>IF(AND('Mapa final'!#REF!="Muy Alta",'Mapa final'!#REF!="Moderado"),CONCATENATE("R2C",'Mapa final'!#REF!),"")</f>
        <v>#REF!</v>
      </c>
      <c r="Y7" s="39" t="e">
        <f>IF(AND('Mapa final'!#REF!="Muy Alta",'Mapa final'!#REF!="Moderado"),CONCATENATE("R2C",'Mapa final'!#REF!),"")</f>
        <v>#REF!</v>
      </c>
      <c r="Z7" s="39" t="e">
        <f>IF(AND('Mapa final'!#REF!="Muy Alta",'Mapa final'!#REF!="Moderado"),CONCATENATE("R2C",'Mapa final'!#REF!),"")</f>
        <v>#REF!</v>
      </c>
      <c r="AA7" s="40" t="e">
        <f>IF(AND('Mapa final'!#REF!="Muy Alta",'Mapa final'!#REF!="Moderado"),CONCATENATE("R2C",'Mapa final'!#REF!),"")</f>
        <v>#REF!</v>
      </c>
      <c r="AB7" s="38" t="str">
        <f>IF(AND('Mapa final'!$AJ$8="Muy Alta",'Mapa final'!$AL$8="Mayor"),CONCATENATE("R2C",'Mapa final'!$V$8),"")</f>
        <v/>
      </c>
      <c r="AC7" s="39" t="str">
        <f>IF(AND('Mapa final'!$AJ$9="Muy Alta",'Mapa final'!$AL$9="Mayor"),CONCATENATE("R2C",'Mapa final'!$V$9),"")</f>
        <v/>
      </c>
      <c r="AD7" s="39" t="e">
        <f>IF(AND('Mapa final'!#REF!="Muy Alta",'Mapa final'!#REF!="Mayor"),CONCATENATE("R2C",'Mapa final'!#REF!),"")</f>
        <v>#REF!</v>
      </c>
      <c r="AE7" s="39" t="e">
        <f>IF(AND('Mapa final'!#REF!="Muy Alta",'Mapa final'!#REF!="Mayor"),CONCATENATE("R2C",'Mapa final'!#REF!),"")</f>
        <v>#REF!</v>
      </c>
      <c r="AF7" s="39" t="e">
        <f>IF(AND('Mapa final'!#REF!="Muy Alta",'Mapa final'!#REF!="Mayor"),CONCATENATE("R2C",'Mapa final'!#REF!),"")</f>
        <v>#REF!</v>
      </c>
      <c r="AG7" s="40" t="e">
        <f>IF(AND('Mapa final'!#REF!="Muy Alta",'Mapa final'!#REF!="Mayor"),CONCATENATE("R2C",'Mapa final'!#REF!),"")</f>
        <v>#REF!</v>
      </c>
      <c r="AH7" s="41" t="str">
        <f>IF(AND('Mapa final'!$AJ$8="Muy Alta",'Mapa final'!$AL$8="Catastrófico"),CONCATENATE("R2C",'Mapa final'!$V$8),"")</f>
        <v/>
      </c>
      <c r="AI7" s="42" t="str">
        <f>IF(AND('Mapa final'!$AJ$9="Muy Alta",'Mapa final'!$AL$9="Catastrófico"),CONCATENATE("R2C",'Mapa final'!$V$9),"")</f>
        <v/>
      </c>
      <c r="AJ7" s="42" t="e">
        <f>IF(AND('Mapa final'!#REF!="Muy Alta",'Mapa final'!#REF!="Catastrófico"),CONCATENATE("R2C",'Mapa final'!#REF!),"")</f>
        <v>#REF!</v>
      </c>
      <c r="AK7" s="42" t="e">
        <f>IF(AND('Mapa final'!#REF!="Muy Alta",'Mapa final'!#REF!="Catastrófico"),CONCATENATE("R2C",'Mapa final'!#REF!),"")</f>
        <v>#REF!</v>
      </c>
      <c r="AL7" s="42" t="e">
        <f>IF(AND('Mapa final'!#REF!="Muy Alta",'Mapa final'!#REF!="Catastrófico"),CONCATENATE("R2C",'Mapa final'!#REF!),"")</f>
        <v>#REF!</v>
      </c>
      <c r="AM7" s="43" t="e">
        <f>IF(AND('Mapa final'!#REF!="Muy Alta",'Mapa final'!#REF!="Catastrófico"),CONCATENATE("R2C",'Mapa final'!#REF!),"")</f>
        <v>#REF!</v>
      </c>
      <c r="AN7" s="70"/>
      <c r="AO7" s="416"/>
      <c r="AP7" s="417"/>
      <c r="AQ7" s="417"/>
      <c r="AR7" s="417"/>
      <c r="AS7" s="417"/>
      <c r="AT7" s="418"/>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row>
    <row r="8" spans="1:91" ht="15" customHeight="1" x14ac:dyDescent="0.25">
      <c r="A8" s="70"/>
      <c r="B8" s="308"/>
      <c r="C8" s="308"/>
      <c r="D8" s="309"/>
      <c r="E8" s="409"/>
      <c r="F8" s="410"/>
      <c r="G8" s="410"/>
      <c r="H8" s="410"/>
      <c r="I8" s="425"/>
      <c r="J8" s="38" t="str">
        <f>IF(AND('Mapa final'!$AJ$10="Muy Alta",'Mapa final'!$AL$10="Leve"),CONCATENATE("R3C",'Mapa final'!$V$10),"")</f>
        <v/>
      </c>
      <c r="K8" s="39" t="str">
        <f>IF(AND('Mapa final'!$AJ$11="Muy Alta",'Mapa final'!$AL$11="Leve"),CONCATENATE("R3C",'Mapa final'!$V$11),"")</f>
        <v/>
      </c>
      <c r="L8" s="39" t="e">
        <f>IF(AND('Mapa final'!#REF!="Muy Alta",'Mapa final'!#REF!="Leve"),CONCATENATE("R3C",'Mapa final'!#REF!),"")</f>
        <v>#REF!</v>
      </c>
      <c r="M8" s="39" t="e">
        <f>IF(AND('Mapa final'!#REF!="Muy Alta",'Mapa final'!#REF!="Leve"),CONCATENATE("R3C",'Mapa final'!#REF!),"")</f>
        <v>#REF!</v>
      </c>
      <c r="N8" s="39" t="e">
        <f>IF(AND('Mapa final'!#REF!="Muy Alta",'Mapa final'!#REF!="Leve"),CONCATENATE("R3C",'Mapa final'!#REF!),"")</f>
        <v>#REF!</v>
      </c>
      <c r="O8" s="40" t="e">
        <f>IF(AND('Mapa final'!#REF!="Muy Alta",'Mapa final'!#REF!="Leve"),CONCATENATE("R3C",'Mapa final'!#REF!),"")</f>
        <v>#REF!</v>
      </c>
      <c r="P8" s="38" t="str">
        <f>IF(AND('Mapa final'!$AJ$10="Muy Alta",'Mapa final'!$AL$10="Menor"),CONCATENATE("R3C",'Mapa final'!$V$10),"")</f>
        <v/>
      </c>
      <c r="Q8" s="39" t="str">
        <f>IF(AND('Mapa final'!$AJ$11="Muy Alta",'Mapa final'!$AL$11="Menor"),CONCATENATE("R3C",'Mapa final'!$V$11),"")</f>
        <v/>
      </c>
      <c r="R8" s="39" t="e">
        <f>IF(AND('Mapa final'!#REF!="Muy Alta",'Mapa final'!#REF!="Menor"),CONCATENATE("R3C",'Mapa final'!#REF!),"")</f>
        <v>#REF!</v>
      </c>
      <c r="S8" s="39" t="e">
        <f>IF(AND('Mapa final'!#REF!="Muy Alta",'Mapa final'!#REF!="Menor"),CONCATENATE("R3C",'Mapa final'!#REF!),"")</f>
        <v>#REF!</v>
      </c>
      <c r="T8" s="39" t="e">
        <f>IF(AND('Mapa final'!#REF!="Muy Alta",'Mapa final'!#REF!="Menor"),CONCATENATE("R3C",'Mapa final'!#REF!),"")</f>
        <v>#REF!</v>
      </c>
      <c r="U8" s="40" t="e">
        <f>IF(AND('Mapa final'!#REF!="Muy Alta",'Mapa final'!#REF!="Menor"),CONCATENATE("R3C",'Mapa final'!#REF!),"")</f>
        <v>#REF!</v>
      </c>
      <c r="V8" s="38" t="str">
        <f>IF(AND('Mapa final'!$AJ$10="Muy Alta",'Mapa final'!$AL$10="Moderado"),CONCATENATE("R3C",'Mapa final'!$V$10),"")</f>
        <v/>
      </c>
      <c r="W8" s="39" t="str">
        <f>IF(AND('Mapa final'!$AJ$11="Muy Alta",'Mapa final'!$AL$11="Moderado"),CONCATENATE("R3C",'Mapa final'!$V$11),"")</f>
        <v/>
      </c>
      <c r="X8" s="39" t="e">
        <f>IF(AND('Mapa final'!#REF!="Muy Alta",'Mapa final'!#REF!="Moderado"),CONCATENATE("R3C",'Mapa final'!#REF!),"")</f>
        <v>#REF!</v>
      </c>
      <c r="Y8" s="39" t="e">
        <f>IF(AND('Mapa final'!#REF!="Muy Alta",'Mapa final'!#REF!="Moderado"),CONCATENATE("R3C",'Mapa final'!#REF!),"")</f>
        <v>#REF!</v>
      </c>
      <c r="Z8" s="39" t="e">
        <f>IF(AND('Mapa final'!#REF!="Muy Alta",'Mapa final'!#REF!="Moderado"),CONCATENATE("R3C",'Mapa final'!#REF!),"")</f>
        <v>#REF!</v>
      </c>
      <c r="AA8" s="40" t="e">
        <f>IF(AND('Mapa final'!#REF!="Muy Alta",'Mapa final'!#REF!="Moderado"),CONCATENATE("R3C",'Mapa final'!#REF!),"")</f>
        <v>#REF!</v>
      </c>
      <c r="AB8" s="38" t="str">
        <f>IF(AND('Mapa final'!$AJ$10="Muy Alta",'Mapa final'!$AL$10="Mayor"),CONCATENATE("R3C",'Mapa final'!$V$10),"")</f>
        <v/>
      </c>
      <c r="AC8" s="39" t="str">
        <f>IF(AND('Mapa final'!$AJ$11="Muy Alta",'Mapa final'!$AL$11="Mayor"),CONCATENATE("R3C",'Mapa final'!$V$11),"")</f>
        <v/>
      </c>
      <c r="AD8" s="39" t="e">
        <f>IF(AND('Mapa final'!#REF!="Muy Alta",'Mapa final'!#REF!="Mayor"),CONCATENATE("R3C",'Mapa final'!#REF!),"")</f>
        <v>#REF!</v>
      </c>
      <c r="AE8" s="39" t="e">
        <f>IF(AND('Mapa final'!#REF!="Muy Alta",'Mapa final'!#REF!="Mayor"),CONCATENATE("R3C",'Mapa final'!#REF!),"")</f>
        <v>#REF!</v>
      </c>
      <c r="AF8" s="39" t="e">
        <f>IF(AND('Mapa final'!#REF!="Muy Alta",'Mapa final'!#REF!="Mayor"),CONCATENATE("R3C",'Mapa final'!#REF!),"")</f>
        <v>#REF!</v>
      </c>
      <c r="AG8" s="40" t="e">
        <f>IF(AND('Mapa final'!#REF!="Muy Alta",'Mapa final'!#REF!="Mayor"),CONCATENATE("R3C",'Mapa final'!#REF!),"")</f>
        <v>#REF!</v>
      </c>
      <c r="AH8" s="41" t="str">
        <f>IF(AND('Mapa final'!$AJ$10="Muy Alta",'Mapa final'!$AL$10="Catastrófico"),CONCATENATE("R3C",'Mapa final'!$V$10),"")</f>
        <v/>
      </c>
      <c r="AI8" s="42" t="str">
        <f>IF(AND('Mapa final'!$AJ$11="Muy Alta",'Mapa final'!$AL$11="Catastrófico"),CONCATENATE("R3C",'Mapa final'!$V$11),"")</f>
        <v/>
      </c>
      <c r="AJ8" s="42" t="e">
        <f>IF(AND('Mapa final'!#REF!="Muy Alta",'Mapa final'!#REF!="Catastrófico"),CONCATENATE("R3C",'Mapa final'!#REF!),"")</f>
        <v>#REF!</v>
      </c>
      <c r="AK8" s="42" t="e">
        <f>IF(AND('Mapa final'!#REF!="Muy Alta",'Mapa final'!#REF!="Catastrófico"),CONCATENATE("R3C",'Mapa final'!#REF!),"")</f>
        <v>#REF!</v>
      </c>
      <c r="AL8" s="42" t="e">
        <f>IF(AND('Mapa final'!#REF!="Muy Alta",'Mapa final'!#REF!="Catastrófico"),CONCATENATE("R3C",'Mapa final'!#REF!),"")</f>
        <v>#REF!</v>
      </c>
      <c r="AM8" s="43" t="e">
        <f>IF(AND('Mapa final'!#REF!="Muy Alta",'Mapa final'!#REF!="Catastrófico"),CONCATENATE("R3C",'Mapa final'!#REF!),"")</f>
        <v>#REF!</v>
      </c>
      <c r="AN8" s="70"/>
      <c r="AO8" s="416"/>
      <c r="AP8" s="417"/>
      <c r="AQ8" s="417"/>
      <c r="AR8" s="417"/>
      <c r="AS8" s="417"/>
      <c r="AT8" s="418"/>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row>
    <row r="9" spans="1:91" ht="15" customHeight="1" x14ac:dyDescent="0.25">
      <c r="A9" s="70"/>
      <c r="B9" s="308"/>
      <c r="C9" s="308"/>
      <c r="D9" s="309"/>
      <c r="E9" s="409"/>
      <c r="F9" s="410"/>
      <c r="G9" s="410"/>
      <c r="H9" s="410"/>
      <c r="I9" s="425"/>
      <c r="J9" s="38" t="str">
        <f>IF(AND('Mapa final'!$AJ$12="Muy Alta",'Mapa final'!$AL$12="Leve"),CONCATENATE("R4C",'Mapa final'!$V$12),"")</f>
        <v/>
      </c>
      <c r="K9" s="39" t="str">
        <f>IF(AND('Mapa final'!$AJ$13="Muy Alta",'Mapa final'!$AL$13="Leve"),CONCATENATE("R4C",'Mapa final'!$V$13),"")</f>
        <v/>
      </c>
      <c r="L9" s="44" t="str">
        <f>IF(AND('Mapa final'!$AJ$14="Muy Alta",'Mapa final'!$AL$14="Leve"),CONCATENATE("R4C",'Mapa final'!$V$14),"")</f>
        <v/>
      </c>
      <c r="M9" s="44" t="e">
        <f>IF(AND('Mapa final'!#REF!="Muy Alta",'Mapa final'!#REF!="Leve"),CONCATENATE("R4C",'Mapa final'!#REF!),"")</f>
        <v>#REF!</v>
      </c>
      <c r="N9" s="44" t="e">
        <f>IF(AND('Mapa final'!#REF!="Muy Alta",'Mapa final'!#REF!="Leve"),CONCATENATE("R4C",'Mapa final'!#REF!),"")</f>
        <v>#REF!</v>
      </c>
      <c r="O9" s="40" t="e">
        <f>IF(AND('Mapa final'!#REF!="Muy Alta",'Mapa final'!#REF!="Leve"),CONCATENATE("R4C",'Mapa final'!#REF!),"")</f>
        <v>#REF!</v>
      </c>
      <c r="P9" s="38" t="str">
        <f>IF(AND('Mapa final'!$AJ$12="Muy Alta",'Mapa final'!$AL$12="Menor"),CONCATENATE("R4C",'Mapa final'!$V$12),"")</f>
        <v/>
      </c>
      <c r="Q9" s="39" t="str">
        <f>IF(AND('Mapa final'!$AJ$13="Muy Alta",'Mapa final'!$AL$13="Menor"),CONCATENATE("R4C",'Mapa final'!$V$13),"")</f>
        <v/>
      </c>
      <c r="R9" s="44" t="str">
        <f>IF(AND('Mapa final'!$AJ$14="Muy Alta",'Mapa final'!$AL$14="Menor"),CONCATENATE("R4C",'Mapa final'!$V$14),"")</f>
        <v/>
      </c>
      <c r="S9" s="44" t="e">
        <f>IF(AND('Mapa final'!#REF!="Muy Alta",'Mapa final'!#REF!="Menor"),CONCATENATE("R4C",'Mapa final'!#REF!),"")</f>
        <v>#REF!</v>
      </c>
      <c r="T9" s="44" t="e">
        <f>IF(AND('Mapa final'!#REF!="Muy Alta",'Mapa final'!#REF!="Menor"),CONCATENATE("R4C",'Mapa final'!#REF!),"")</f>
        <v>#REF!</v>
      </c>
      <c r="U9" s="40" t="e">
        <f>IF(AND('Mapa final'!#REF!="Muy Alta",'Mapa final'!#REF!="Menor"),CONCATENATE("R4C",'Mapa final'!#REF!),"")</f>
        <v>#REF!</v>
      </c>
      <c r="V9" s="38" t="str">
        <f>IF(AND('Mapa final'!$AJ$12="Muy Alta",'Mapa final'!$AL$12="Moderado"),CONCATENATE("R4C",'Mapa final'!$V$12),"")</f>
        <v/>
      </c>
      <c r="W9" s="39" t="str">
        <f>IF(AND('Mapa final'!$AJ$13="Muy Alta",'Mapa final'!$AL$13="Moderado"),CONCATENATE("R4C",'Mapa final'!$V$13),"")</f>
        <v/>
      </c>
      <c r="X9" s="44" t="str">
        <f>IF(AND('Mapa final'!$AJ$14="Muy Alta",'Mapa final'!$AL$14="Moderado"),CONCATENATE("R4C",'Mapa final'!$V$14),"")</f>
        <v/>
      </c>
      <c r="Y9" s="44" t="e">
        <f>IF(AND('Mapa final'!#REF!="Muy Alta",'Mapa final'!#REF!="Moderado"),CONCATENATE("R4C",'Mapa final'!#REF!),"")</f>
        <v>#REF!</v>
      </c>
      <c r="Z9" s="44" t="e">
        <f>IF(AND('Mapa final'!#REF!="Muy Alta",'Mapa final'!#REF!="Moderado"),CONCATENATE("R4C",'Mapa final'!#REF!),"")</f>
        <v>#REF!</v>
      </c>
      <c r="AA9" s="40" t="e">
        <f>IF(AND('Mapa final'!#REF!="Muy Alta",'Mapa final'!#REF!="Moderado"),CONCATENATE("R4C",'Mapa final'!#REF!),"")</f>
        <v>#REF!</v>
      </c>
      <c r="AB9" s="38" t="str">
        <f>IF(AND('Mapa final'!$AJ$12="Muy Alta",'Mapa final'!$AL$12="Mayor"),CONCATENATE("R4C",'Mapa final'!$V$12),"")</f>
        <v/>
      </c>
      <c r="AC9" s="39" t="str">
        <f>IF(AND('Mapa final'!$AJ$13="Muy Alta",'Mapa final'!$AL$13="Mayor"),CONCATENATE("R4C",'Mapa final'!$V$13),"")</f>
        <v/>
      </c>
      <c r="AD9" s="44" t="str">
        <f>IF(AND('Mapa final'!$AJ$14="Muy Alta",'Mapa final'!$AL$14="Mayor"),CONCATENATE("R4C",'Mapa final'!$V$14),"")</f>
        <v/>
      </c>
      <c r="AE9" s="44" t="e">
        <f>IF(AND('Mapa final'!#REF!="Muy Alta",'Mapa final'!#REF!="Mayor"),CONCATENATE("R4C",'Mapa final'!#REF!),"")</f>
        <v>#REF!</v>
      </c>
      <c r="AF9" s="44" t="e">
        <f>IF(AND('Mapa final'!#REF!="Muy Alta",'Mapa final'!#REF!="Mayor"),CONCATENATE("R4C",'Mapa final'!#REF!),"")</f>
        <v>#REF!</v>
      </c>
      <c r="AG9" s="40" t="e">
        <f>IF(AND('Mapa final'!#REF!="Muy Alta",'Mapa final'!#REF!="Mayor"),CONCATENATE("R4C",'Mapa final'!#REF!),"")</f>
        <v>#REF!</v>
      </c>
      <c r="AH9" s="41" t="str">
        <f>IF(AND('Mapa final'!$AJ$12="Muy Alta",'Mapa final'!$AL$12="Catastrófico"),CONCATENATE("R4C",'Mapa final'!$V$12),"")</f>
        <v/>
      </c>
      <c r="AI9" s="42" t="str">
        <f>IF(AND('Mapa final'!$AJ$13="Muy Alta",'Mapa final'!$AL$13="Catastrófico"),CONCATENATE("R4C",'Mapa final'!$V$13),"")</f>
        <v/>
      </c>
      <c r="AJ9" s="42" t="str">
        <f>IF(AND('Mapa final'!$AJ$14="Muy Alta",'Mapa final'!$AL$14="Catastrófico"),CONCATENATE("R4C",'Mapa final'!$V$14),"")</f>
        <v/>
      </c>
      <c r="AK9" s="42" t="e">
        <f>IF(AND('Mapa final'!#REF!="Muy Alta",'Mapa final'!#REF!="Catastrófico"),CONCATENATE("R4C",'Mapa final'!#REF!),"")</f>
        <v>#REF!</v>
      </c>
      <c r="AL9" s="42" t="e">
        <f>IF(AND('Mapa final'!#REF!="Muy Alta",'Mapa final'!#REF!="Catastrófico"),CONCATENATE("R4C",'Mapa final'!#REF!),"")</f>
        <v>#REF!</v>
      </c>
      <c r="AM9" s="43" t="e">
        <f>IF(AND('Mapa final'!#REF!="Muy Alta",'Mapa final'!#REF!="Catastrófico"),CONCATENATE("R4C",'Mapa final'!#REF!),"")</f>
        <v>#REF!</v>
      </c>
      <c r="AN9" s="70"/>
      <c r="AO9" s="416"/>
      <c r="AP9" s="417"/>
      <c r="AQ9" s="417"/>
      <c r="AR9" s="417"/>
      <c r="AS9" s="417"/>
      <c r="AT9" s="418"/>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row>
    <row r="10" spans="1:91" ht="15" customHeight="1" x14ac:dyDescent="0.25">
      <c r="A10" s="70"/>
      <c r="B10" s="308"/>
      <c r="C10" s="308"/>
      <c r="D10" s="309"/>
      <c r="E10" s="409"/>
      <c r="F10" s="410"/>
      <c r="G10" s="410"/>
      <c r="H10" s="410"/>
      <c r="I10" s="425"/>
      <c r="J10" s="38" t="str">
        <f>IF(AND('Mapa final'!$AJ$15="Muy Alta",'Mapa final'!$AL$15="Leve"),CONCATENATE("R5C",'Mapa final'!$V$15),"")</f>
        <v/>
      </c>
      <c r="K10" s="39" t="str">
        <f>IF(AND('Mapa final'!$AJ$16="Muy Alta",'Mapa final'!$AL$16="Leve"),CONCATENATE("R5C",'Mapa final'!$V$16),"")</f>
        <v/>
      </c>
      <c r="L10" s="44" t="e">
        <f>IF(AND('Mapa final'!#REF!="Muy Alta",'Mapa final'!#REF!="Leve"),CONCATENATE("R5C",'Mapa final'!#REF!),"")</f>
        <v>#REF!</v>
      </c>
      <c r="M10" s="44" t="e">
        <f>IF(AND('Mapa final'!#REF!="Muy Alta",'Mapa final'!#REF!="Leve"),CONCATENATE("R5C",'Mapa final'!#REF!),"")</f>
        <v>#REF!</v>
      </c>
      <c r="N10" s="44" t="e">
        <f>IF(AND('Mapa final'!#REF!="Muy Alta",'Mapa final'!#REF!="Leve"),CONCATENATE("R5C",'Mapa final'!#REF!),"")</f>
        <v>#REF!</v>
      </c>
      <c r="O10" s="40" t="e">
        <f>IF(AND('Mapa final'!#REF!="Muy Alta",'Mapa final'!#REF!="Leve"),CONCATENATE("R5C",'Mapa final'!#REF!),"")</f>
        <v>#REF!</v>
      </c>
      <c r="P10" s="38" t="str">
        <f>IF(AND('Mapa final'!$AJ$15="Muy Alta",'Mapa final'!$AL$15="Menor"),CONCATENATE("R5C",'Mapa final'!$V$15),"")</f>
        <v/>
      </c>
      <c r="Q10" s="39" t="str">
        <f>IF(AND('Mapa final'!$AJ$16="Muy Alta",'Mapa final'!$AL$16="Menor"),CONCATENATE("R5C",'Mapa final'!$V$16),"")</f>
        <v/>
      </c>
      <c r="R10" s="44" t="e">
        <f>IF(AND('Mapa final'!#REF!="Muy Alta",'Mapa final'!#REF!="Menor"),CONCATENATE("R5C",'Mapa final'!#REF!),"")</f>
        <v>#REF!</v>
      </c>
      <c r="S10" s="44" t="e">
        <f>IF(AND('Mapa final'!#REF!="Muy Alta",'Mapa final'!#REF!="Menor"),CONCATENATE("R5C",'Mapa final'!#REF!),"")</f>
        <v>#REF!</v>
      </c>
      <c r="T10" s="44" t="e">
        <f>IF(AND('Mapa final'!#REF!="Muy Alta",'Mapa final'!#REF!="Menor"),CONCATENATE("R5C",'Mapa final'!#REF!),"")</f>
        <v>#REF!</v>
      </c>
      <c r="U10" s="40" t="e">
        <f>IF(AND('Mapa final'!#REF!="Muy Alta",'Mapa final'!#REF!="Menor"),CONCATENATE("R5C",'Mapa final'!#REF!),"")</f>
        <v>#REF!</v>
      </c>
      <c r="V10" s="38" t="str">
        <f>IF(AND('Mapa final'!$AJ$15="Muy Alta",'Mapa final'!$AL$15="Moderado"),CONCATENATE("R5C",'Mapa final'!$V$15),"")</f>
        <v/>
      </c>
      <c r="W10" s="39" t="str">
        <f>IF(AND('Mapa final'!$AJ$16="Muy Alta",'Mapa final'!$AL$16="Moderado"),CONCATENATE("R5C",'Mapa final'!$V$16),"")</f>
        <v/>
      </c>
      <c r="X10" s="44" t="e">
        <f>IF(AND('Mapa final'!#REF!="Muy Alta",'Mapa final'!#REF!="Moderado"),CONCATENATE("R5C",'Mapa final'!#REF!),"")</f>
        <v>#REF!</v>
      </c>
      <c r="Y10" s="44" t="e">
        <f>IF(AND('Mapa final'!#REF!="Muy Alta",'Mapa final'!#REF!="Moderado"),CONCATENATE("R5C",'Mapa final'!#REF!),"")</f>
        <v>#REF!</v>
      </c>
      <c r="Z10" s="44" t="e">
        <f>IF(AND('Mapa final'!#REF!="Muy Alta",'Mapa final'!#REF!="Moderado"),CONCATENATE("R5C",'Mapa final'!#REF!),"")</f>
        <v>#REF!</v>
      </c>
      <c r="AA10" s="40" t="e">
        <f>IF(AND('Mapa final'!#REF!="Muy Alta",'Mapa final'!#REF!="Moderado"),CONCATENATE("R5C",'Mapa final'!#REF!),"")</f>
        <v>#REF!</v>
      </c>
      <c r="AB10" s="38" t="str">
        <f>IF(AND('Mapa final'!$AJ$15="Muy Alta",'Mapa final'!$AL$15="Mayor"),CONCATENATE("R5C",'Mapa final'!$V$15),"")</f>
        <v/>
      </c>
      <c r="AC10" s="39" t="str">
        <f>IF(AND('Mapa final'!$AJ$16="Muy Alta",'Mapa final'!$AL$16="Mayor"),CONCATENATE("R5C",'Mapa final'!$V$16),"")</f>
        <v/>
      </c>
      <c r="AD10" s="44" t="e">
        <f>IF(AND('Mapa final'!#REF!="Muy Alta",'Mapa final'!#REF!="Mayor"),CONCATENATE("R5C",'Mapa final'!#REF!),"")</f>
        <v>#REF!</v>
      </c>
      <c r="AE10" s="44" t="e">
        <f>IF(AND('Mapa final'!#REF!="Muy Alta",'Mapa final'!#REF!="Mayor"),CONCATENATE("R5C",'Mapa final'!#REF!),"")</f>
        <v>#REF!</v>
      </c>
      <c r="AF10" s="44" t="e">
        <f>IF(AND('Mapa final'!#REF!="Muy Alta",'Mapa final'!#REF!="Mayor"),CONCATENATE("R5C",'Mapa final'!#REF!),"")</f>
        <v>#REF!</v>
      </c>
      <c r="AG10" s="40" t="e">
        <f>IF(AND('Mapa final'!#REF!="Muy Alta",'Mapa final'!#REF!="Mayor"),CONCATENATE("R5C",'Mapa final'!#REF!),"")</f>
        <v>#REF!</v>
      </c>
      <c r="AH10" s="41" t="str">
        <f>IF(AND('Mapa final'!$AJ$15="Muy Alta",'Mapa final'!$AL$15="Catastrófico"),CONCATENATE("R5C",'Mapa final'!$V$15),"")</f>
        <v/>
      </c>
      <c r="AI10" s="42" t="str">
        <f>IF(AND('Mapa final'!$AJ$16="Muy Alta",'Mapa final'!$AL$16="Catastrófico"),CONCATENATE("R5C",'Mapa final'!$V$16),"")</f>
        <v/>
      </c>
      <c r="AJ10" s="42" t="e">
        <f>IF(AND('Mapa final'!#REF!="Muy Alta",'Mapa final'!#REF!="Catastrófico"),CONCATENATE("R5C",'Mapa final'!#REF!),"")</f>
        <v>#REF!</v>
      </c>
      <c r="AK10" s="42" t="e">
        <f>IF(AND('Mapa final'!#REF!="Muy Alta",'Mapa final'!#REF!="Catastrófico"),CONCATENATE("R5C",'Mapa final'!#REF!),"")</f>
        <v>#REF!</v>
      </c>
      <c r="AL10" s="42" t="e">
        <f>IF(AND('Mapa final'!#REF!="Muy Alta",'Mapa final'!#REF!="Catastrófico"),CONCATENATE("R5C",'Mapa final'!#REF!),"")</f>
        <v>#REF!</v>
      </c>
      <c r="AM10" s="43" t="e">
        <f>IF(AND('Mapa final'!#REF!="Muy Alta",'Mapa final'!#REF!="Catastrófico"),CONCATENATE("R5C",'Mapa final'!#REF!),"")</f>
        <v>#REF!</v>
      </c>
      <c r="AN10" s="70"/>
      <c r="AO10" s="416"/>
      <c r="AP10" s="417"/>
      <c r="AQ10" s="417"/>
      <c r="AR10" s="417"/>
      <c r="AS10" s="417"/>
      <c r="AT10" s="418"/>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row>
    <row r="11" spans="1:91" ht="15" customHeight="1" x14ac:dyDescent="0.25">
      <c r="A11" s="70"/>
      <c r="B11" s="308"/>
      <c r="C11" s="308"/>
      <c r="D11" s="309"/>
      <c r="E11" s="409"/>
      <c r="F11" s="410"/>
      <c r="G11" s="410"/>
      <c r="H11" s="410"/>
      <c r="I11" s="425"/>
      <c r="J11" s="38" t="str">
        <f>IF(AND('Mapa final'!$AJ$17="Muy Alta",'Mapa final'!$AL$17="Leve"),CONCATENATE("R6C",'Mapa final'!$V$17),"")</f>
        <v/>
      </c>
      <c r="K11" s="39" t="str">
        <f>IF(AND('Mapa final'!$AJ$18="Muy Alta",'Mapa final'!$AL$18="Leve"),CONCATENATE("R6C",'Mapa final'!$V$18),"")</f>
        <v/>
      </c>
      <c r="L11" s="44" t="e">
        <f>IF(AND('Mapa final'!#REF!="Muy Alta",'Mapa final'!#REF!="Leve"),CONCATENATE("R6C",'Mapa final'!#REF!),"")</f>
        <v>#REF!</v>
      </c>
      <c r="M11" s="44" t="str">
        <f>IF(AND('Mapa final'!$AJ$19="Muy Alta",'Mapa final'!$AL$19="Leve"),CONCATENATE("R6C",'Mapa final'!$V$19),"")</f>
        <v/>
      </c>
      <c r="N11" s="44" t="e">
        <f>IF(AND('Mapa final'!#REF!="Muy Alta",'Mapa final'!#REF!="Leve"),CONCATENATE("R6C",'Mapa final'!#REF!),"")</f>
        <v>#REF!</v>
      </c>
      <c r="O11" s="40" t="e">
        <f>IF(AND('Mapa final'!#REF!="Muy Alta",'Mapa final'!#REF!="Leve"),CONCATENATE("R6C",'Mapa final'!#REF!),"")</f>
        <v>#REF!</v>
      </c>
      <c r="P11" s="38" t="str">
        <f>IF(AND('Mapa final'!$AJ$17="Muy Alta",'Mapa final'!$AL$17="Menor"),CONCATENATE("R6C",'Mapa final'!$V$17),"")</f>
        <v/>
      </c>
      <c r="Q11" s="39" t="str">
        <f>IF(AND('Mapa final'!$AJ$18="Muy Alta",'Mapa final'!$AL$18="Menor"),CONCATENATE("R6C",'Mapa final'!$V$18),"")</f>
        <v/>
      </c>
      <c r="R11" s="44" t="e">
        <f>IF(AND('Mapa final'!#REF!="Muy Alta",'Mapa final'!#REF!="Menor"),CONCATENATE("R6C",'Mapa final'!#REF!),"")</f>
        <v>#REF!</v>
      </c>
      <c r="S11" s="44" t="str">
        <f>IF(AND('Mapa final'!$AJ$19="Muy Alta",'Mapa final'!$AL$19="Menor"),CONCATENATE("R6C",'Mapa final'!$V$19),"")</f>
        <v/>
      </c>
      <c r="T11" s="44" t="e">
        <f>IF(AND('Mapa final'!#REF!="Muy Alta",'Mapa final'!#REF!="Menor"),CONCATENATE("R6C",'Mapa final'!#REF!),"")</f>
        <v>#REF!</v>
      </c>
      <c r="U11" s="40" t="e">
        <f>IF(AND('Mapa final'!#REF!="Muy Alta",'Mapa final'!#REF!="Menor"),CONCATENATE("R6C",'Mapa final'!#REF!),"")</f>
        <v>#REF!</v>
      </c>
      <c r="V11" s="38" t="str">
        <f>IF(AND('Mapa final'!$AJ$17="Muy Alta",'Mapa final'!$AL$17="Moderado"),CONCATENATE("R6C",'Mapa final'!$V$17),"")</f>
        <v/>
      </c>
      <c r="W11" s="39" t="str">
        <f>IF(AND('Mapa final'!$AJ$18="Muy Alta",'Mapa final'!$AL$18="Moderado"),CONCATENATE("R6C",'Mapa final'!$V$18),"")</f>
        <v/>
      </c>
      <c r="X11" s="44" t="e">
        <f>IF(AND('Mapa final'!#REF!="Muy Alta",'Mapa final'!#REF!="Moderado"),CONCATENATE("R6C",'Mapa final'!#REF!),"")</f>
        <v>#REF!</v>
      </c>
      <c r="Y11" s="44" t="str">
        <f>IF(AND('Mapa final'!$AJ$19="Muy Alta",'Mapa final'!$AL$19="Moderado"),CONCATENATE("R6C",'Mapa final'!$V$19),"")</f>
        <v/>
      </c>
      <c r="Z11" s="44" t="e">
        <f>IF(AND('Mapa final'!#REF!="Muy Alta",'Mapa final'!#REF!="Moderado"),CONCATENATE("R6C",'Mapa final'!#REF!),"")</f>
        <v>#REF!</v>
      </c>
      <c r="AA11" s="40" t="e">
        <f>IF(AND('Mapa final'!#REF!="Muy Alta",'Mapa final'!#REF!="Moderado"),CONCATENATE("R6C",'Mapa final'!#REF!),"")</f>
        <v>#REF!</v>
      </c>
      <c r="AB11" s="38" t="str">
        <f>IF(AND('Mapa final'!$AJ$17="Muy Alta",'Mapa final'!$AL$17="Mayor"),CONCATENATE("R6C",'Mapa final'!$V$17),"")</f>
        <v/>
      </c>
      <c r="AC11" s="39" t="str">
        <f>IF(AND('Mapa final'!$AJ$18="Muy Alta",'Mapa final'!$AL$18="Mayor"),CONCATENATE("R6C",'Mapa final'!$V$18),"")</f>
        <v/>
      </c>
      <c r="AD11" s="44" t="e">
        <f>IF(AND('Mapa final'!#REF!="Muy Alta",'Mapa final'!#REF!="Mayor"),CONCATENATE("R6C",'Mapa final'!#REF!),"")</f>
        <v>#REF!</v>
      </c>
      <c r="AE11" s="44" t="str">
        <f>IF(AND('Mapa final'!$AJ$19="Muy Alta",'Mapa final'!$AL$19="Mayor"),CONCATENATE("R6C",'Mapa final'!$V$19),"")</f>
        <v/>
      </c>
      <c r="AF11" s="44" t="e">
        <f>IF(AND('Mapa final'!#REF!="Muy Alta",'Mapa final'!#REF!="Mayor"),CONCATENATE("R6C",'Mapa final'!#REF!),"")</f>
        <v>#REF!</v>
      </c>
      <c r="AG11" s="40" t="e">
        <f>IF(AND('Mapa final'!#REF!="Muy Alta",'Mapa final'!#REF!="Mayor"),CONCATENATE("R6C",'Mapa final'!#REF!),"")</f>
        <v>#REF!</v>
      </c>
      <c r="AH11" s="41" t="str">
        <f>IF(AND('Mapa final'!$AJ$17="Muy Alta",'Mapa final'!$AL$17="Catastrófico"),CONCATENATE("R6C",'Mapa final'!$V$17),"")</f>
        <v/>
      </c>
      <c r="AI11" s="42" t="str">
        <f>IF(AND('Mapa final'!$AJ$18="Muy Alta",'Mapa final'!$AL$18="Catastrófico"),CONCATENATE("R6C",'Mapa final'!$V$18),"")</f>
        <v/>
      </c>
      <c r="AJ11" s="42" t="e">
        <f>IF(AND('Mapa final'!#REF!="Muy Alta",'Mapa final'!#REF!="Catastrófico"),CONCATENATE("R6C",'Mapa final'!#REF!),"")</f>
        <v>#REF!</v>
      </c>
      <c r="AK11" s="42" t="str">
        <f>IF(AND('Mapa final'!$AJ$19="Muy Alta",'Mapa final'!$AL$19="Catastrófico"),CONCATENATE("R6C",'Mapa final'!$V$19),"")</f>
        <v/>
      </c>
      <c r="AL11" s="42" t="e">
        <f>IF(AND('Mapa final'!#REF!="Muy Alta",'Mapa final'!#REF!="Catastrófico"),CONCATENATE("R6C",'Mapa final'!#REF!),"")</f>
        <v>#REF!</v>
      </c>
      <c r="AM11" s="43" t="e">
        <f>IF(AND('Mapa final'!#REF!="Muy Alta",'Mapa final'!#REF!="Catastrófico"),CONCATENATE("R6C",'Mapa final'!#REF!),"")</f>
        <v>#REF!</v>
      </c>
      <c r="AN11" s="70"/>
      <c r="AO11" s="416"/>
      <c r="AP11" s="417"/>
      <c r="AQ11" s="417"/>
      <c r="AR11" s="417"/>
      <c r="AS11" s="417"/>
      <c r="AT11" s="418"/>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row>
    <row r="12" spans="1:91" ht="15" customHeight="1" x14ac:dyDescent="0.25">
      <c r="A12" s="70"/>
      <c r="B12" s="308"/>
      <c r="C12" s="308"/>
      <c r="D12" s="309"/>
      <c r="E12" s="409"/>
      <c r="F12" s="410"/>
      <c r="G12" s="410"/>
      <c r="H12" s="410"/>
      <c r="I12" s="425"/>
      <c r="J12" s="38" t="str">
        <f>IF(AND('Mapa final'!$AJ$20="Muy Alta",'Mapa final'!$AL$20="Leve"),CONCATENATE("R7C",'Mapa final'!$V$20),"")</f>
        <v/>
      </c>
      <c r="K12" s="39" t="str">
        <f>IF(AND('Mapa final'!$AJ$21="Muy Alta",'Mapa final'!$AL$21="Leve"),CONCATENATE("R7C",'Mapa final'!$V$21),"")</f>
        <v/>
      </c>
      <c r="L12" s="44" t="e">
        <f>IF(AND('Mapa final'!#REF!="Muy Alta",'Mapa final'!#REF!="Leve"),CONCATENATE("R7C",'Mapa final'!#REF!),"")</f>
        <v>#REF!</v>
      </c>
      <c r="M12" s="44" t="e">
        <f>IF(AND('Mapa final'!#REF!="Muy Alta",'Mapa final'!#REF!="Leve"),CONCATENATE("R7C",'Mapa final'!#REF!),"")</f>
        <v>#REF!</v>
      </c>
      <c r="N12" s="44" t="e">
        <f>IF(AND('Mapa final'!#REF!="Muy Alta",'Mapa final'!#REF!="Leve"),CONCATENATE("R7C",'Mapa final'!#REF!),"")</f>
        <v>#REF!</v>
      </c>
      <c r="O12" s="40" t="e">
        <f>IF(AND('Mapa final'!#REF!="Muy Alta",'Mapa final'!#REF!="Leve"),CONCATENATE("R7C",'Mapa final'!#REF!),"")</f>
        <v>#REF!</v>
      </c>
      <c r="P12" s="38" t="str">
        <f>IF(AND('Mapa final'!$AJ$20="Muy Alta",'Mapa final'!$AL$20="Menor"),CONCATENATE("R7C",'Mapa final'!$V$20),"")</f>
        <v/>
      </c>
      <c r="Q12" s="39" t="str">
        <f>IF(AND('Mapa final'!$AJ$21="Muy Alta",'Mapa final'!$AL$21="Menor"),CONCATENATE("R7C",'Mapa final'!$V$21),"")</f>
        <v/>
      </c>
      <c r="R12" s="44" t="e">
        <f>IF(AND('Mapa final'!#REF!="Muy Alta",'Mapa final'!#REF!="Menor"),CONCATENATE("R7C",'Mapa final'!#REF!),"")</f>
        <v>#REF!</v>
      </c>
      <c r="S12" s="44" t="e">
        <f>IF(AND('Mapa final'!#REF!="Muy Alta",'Mapa final'!#REF!="Menor"),CONCATENATE("R7C",'Mapa final'!#REF!),"")</f>
        <v>#REF!</v>
      </c>
      <c r="T12" s="44" t="e">
        <f>IF(AND('Mapa final'!#REF!="Muy Alta",'Mapa final'!#REF!="Menor"),CONCATENATE("R7C",'Mapa final'!#REF!),"")</f>
        <v>#REF!</v>
      </c>
      <c r="U12" s="40" t="e">
        <f>IF(AND('Mapa final'!#REF!="Muy Alta",'Mapa final'!#REF!="Menor"),CONCATENATE("R7C",'Mapa final'!#REF!),"")</f>
        <v>#REF!</v>
      </c>
      <c r="V12" s="38" t="str">
        <f>IF(AND('Mapa final'!$AJ$20="Muy Alta",'Mapa final'!$AL$20="Moderado"),CONCATENATE("R7C",'Mapa final'!$V$20),"")</f>
        <v/>
      </c>
      <c r="W12" s="39" t="str">
        <f>IF(AND('Mapa final'!$AJ$21="Muy Alta",'Mapa final'!$AL$21="Moderado"),CONCATENATE("R7C",'Mapa final'!$V$21),"")</f>
        <v/>
      </c>
      <c r="X12" s="44" t="e">
        <f>IF(AND('Mapa final'!#REF!="Muy Alta",'Mapa final'!#REF!="Moderado"),CONCATENATE("R7C",'Mapa final'!#REF!),"")</f>
        <v>#REF!</v>
      </c>
      <c r="Y12" s="44" t="e">
        <f>IF(AND('Mapa final'!#REF!="Muy Alta",'Mapa final'!#REF!="Moderado"),CONCATENATE("R7C",'Mapa final'!#REF!),"")</f>
        <v>#REF!</v>
      </c>
      <c r="Z12" s="44" t="e">
        <f>IF(AND('Mapa final'!#REF!="Muy Alta",'Mapa final'!#REF!="Moderado"),CONCATENATE("R7C",'Mapa final'!#REF!),"")</f>
        <v>#REF!</v>
      </c>
      <c r="AA12" s="40" t="e">
        <f>IF(AND('Mapa final'!#REF!="Muy Alta",'Mapa final'!#REF!="Moderado"),CONCATENATE("R7C",'Mapa final'!#REF!),"")</f>
        <v>#REF!</v>
      </c>
      <c r="AB12" s="38" t="str">
        <f>IF(AND('Mapa final'!$AJ$20="Muy Alta",'Mapa final'!$AL$20="Mayor"),CONCATENATE("R7C",'Mapa final'!$V$20),"")</f>
        <v/>
      </c>
      <c r="AC12" s="39" t="str">
        <f>IF(AND('Mapa final'!$AJ$21="Muy Alta",'Mapa final'!$AL$21="Mayor"),CONCATENATE("R7C",'Mapa final'!$V$21),"")</f>
        <v/>
      </c>
      <c r="AD12" s="44" t="e">
        <f>IF(AND('Mapa final'!#REF!="Muy Alta",'Mapa final'!#REF!="Mayor"),CONCATENATE("R7C",'Mapa final'!#REF!),"")</f>
        <v>#REF!</v>
      </c>
      <c r="AE12" s="44" t="e">
        <f>IF(AND('Mapa final'!#REF!="Muy Alta",'Mapa final'!#REF!="Mayor"),CONCATENATE("R7C",'Mapa final'!#REF!),"")</f>
        <v>#REF!</v>
      </c>
      <c r="AF12" s="44" t="e">
        <f>IF(AND('Mapa final'!#REF!="Muy Alta",'Mapa final'!#REF!="Mayor"),CONCATENATE("R7C",'Mapa final'!#REF!),"")</f>
        <v>#REF!</v>
      </c>
      <c r="AG12" s="40" t="e">
        <f>IF(AND('Mapa final'!#REF!="Muy Alta",'Mapa final'!#REF!="Mayor"),CONCATENATE("R7C",'Mapa final'!#REF!),"")</f>
        <v>#REF!</v>
      </c>
      <c r="AH12" s="41" t="str">
        <f>IF(AND('Mapa final'!$AJ$20="Muy Alta",'Mapa final'!$AL$20="Catastrófico"),CONCATENATE("R7C",'Mapa final'!$V$20),"")</f>
        <v/>
      </c>
      <c r="AI12" s="42" t="str">
        <f>IF(AND('Mapa final'!$AJ$21="Muy Alta",'Mapa final'!$AL$21="Catastrófico"),CONCATENATE("R7C",'Mapa final'!$V$21),"")</f>
        <v/>
      </c>
      <c r="AJ12" s="42" t="e">
        <f>IF(AND('Mapa final'!#REF!="Muy Alta",'Mapa final'!#REF!="Catastrófico"),CONCATENATE("R7C",'Mapa final'!#REF!),"")</f>
        <v>#REF!</v>
      </c>
      <c r="AK12" s="42" t="e">
        <f>IF(AND('Mapa final'!#REF!="Muy Alta",'Mapa final'!#REF!="Catastrófico"),CONCATENATE("R7C",'Mapa final'!#REF!),"")</f>
        <v>#REF!</v>
      </c>
      <c r="AL12" s="42" t="e">
        <f>IF(AND('Mapa final'!#REF!="Muy Alta",'Mapa final'!#REF!="Catastrófico"),CONCATENATE("R7C",'Mapa final'!#REF!),"")</f>
        <v>#REF!</v>
      </c>
      <c r="AM12" s="43" t="e">
        <f>IF(AND('Mapa final'!#REF!="Muy Alta",'Mapa final'!#REF!="Catastrófico"),CONCATENATE("R7C",'Mapa final'!#REF!),"")</f>
        <v>#REF!</v>
      </c>
      <c r="AN12" s="70"/>
      <c r="AO12" s="416"/>
      <c r="AP12" s="417"/>
      <c r="AQ12" s="417"/>
      <c r="AR12" s="417"/>
      <c r="AS12" s="417"/>
      <c r="AT12" s="418"/>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row>
    <row r="13" spans="1:91" ht="15" customHeight="1" x14ac:dyDescent="0.25">
      <c r="A13" s="70"/>
      <c r="B13" s="308"/>
      <c r="C13" s="308"/>
      <c r="D13" s="309"/>
      <c r="E13" s="409"/>
      <c r="F13" s="410"/>
      <c r="G13" s="410"/>
      <c r="H13" s="410"/>
      <c r="I13" s="425"/>
      <c r="J13" s="38" t="str">
        <f>IF(AND('Mapa final'!$AJ$22="Muy Alta",'Mapa final'!$AL$22="Leve"),CONCATENATE("R8C",'Mapa final'!$V$22),"")</f>
        <v/>
      </c>
      <c r="K13" s="39" t="str">
        <f>IF(AND('Mapa final'!$AJ$23="Muy Alta",'Mapa final'!$AL$23="Leve"),CONCATENATE("R8C",'Mapa final'!$V$23),"")</f>
        <v/>
      </c>
      <c r="L13" s="44" t="str">
        <f>IF(AND('Mapa final'!$AJ$24="Muy Alta",'Mapa final'!$AL$24="Leve"),CONCATENATE("R8C",'Mapa final'!$V$24),"")</f>
        <v/>
      </c>
      <c r="M13" s="44" t="str">
        <f>IF(AND('Mapa final'!$AJ$25="Muy Alta",'Mapa final'!$AL$25="Leve"),CONCATENATE("R8C",'Mapa final'!$V$25),"")</f>
        <v/>
      </c>
      <c r="N13" s="44" t="e">
        <f>IF(AND('Mapa final'!#REF!="Muy Alta",'Mapa final'!#REF!="Leve"),CONCATENATE("R8C",'Mapa final'!#REF!),"")</f>
        <v>#REF!</v>
      </c>
      <c r="O13" s="40" t="e">
        <f>IF(AND('Mapa final'!#REF!="Muy Alta",'Mapa final'!#REF!="Leve"),CONCATENATE("R8C",'Mapa final'!#REF!),"")</f>
        <v>#REF!</v>
      </c>
      <c r="P13" s="38" t="str">
        <f>IF(AND('Mapa final'!$AJ$22="Muy Alta",'Mapa final'!$AL$22="Menor"),CONCATENATE("R8C",'Mapa final'!$V$22),"")</f>
        <v/>
      </c>
      <c r="Q13" s="39" t="str">
        <f>IF(AND('Mapa final'!$AJ$23="Muy Alta",'Mapa final'!$AL$23="Menor"),CONCATENATE("R8C",'Mapa final'!$V$23),"")</f>
        <v/>
      </c>
      <c r="R13" s="44" t="str">
        <f>IF(AND('Mapa final'!$AJ$24="Muy Alta",'Mapa final'!$AL$24="Menor"),CONCATENATE("R8C",'Mapa final'!$V$24),"")</f>
        <v/>
      </c>
      <c r="S13" s="44" t="str">
        <f>IF(AND('Mapa final'!$AJ$25="Muy Alta",'Mapa final'!$AL$25="Menor"),CONCATENATE("R8C",'Mapa final'!$V$25),"")</f>
        <v/>
      </c>
      <c r="T13" s="44" t="e">
        <f>IF(AND('Mapa final'!#REF!="Muy Alta",'Mapa final'!#REF!="Menor"),CONCATENATE("R8C",'Mapa final'!#REF!),"")</f>
        <v>#REF!</v>
      </c>
      <c r="U13" s="40" t="e">
        <f>IF(AND('Mapa final'!#REF!="Muy Alta",'Mapa final'!#REF!="Menor"),CONCATENATE("R8C",'Mapa final'!#REF!),"")</f>
        <v>#REF!</v>
      </c>
      <c r="V13" s="38" t="str">
        <f>IF(AND('Mapa final'!$AJ$22="Muy Alta",'Mapa final'!$AL$22="Moderado"),CONCATENATE("R8C",'Mapa final'!$V$22),"")</f>
        <v/>
      </c>
      <c r="W13" s="39" t="str">
        <f>IF(AND('Mapa final'!$AJ$23="Muy Alta",'Mapa final'!$AL$23="Moderado"),CONCATENATE("R8C",'Mapa final'!$V$23),"")</f>
        <v/>
      </c>
      <c r="X13" s="44" t="str">
        <f>IF(AND('Mapa final'!$AJ$24="Muy Alta",'Mapa final'!$AL$24="Moderado"),CONCATENATE("R8C",'Mapa final'!$V$24),"")</f>
        <v/>
      </c>
      <c r="Y13" s="44" t="str">
        <f>IF(AND('Mapa final'!$AJ$25="Muy Alta",'Mapa final'!$AL$25="Moderado"),CONCATENATE("R8C",'Mapa final'!$V$25),"")</f>
        <v/>
      </c>
      <c r="Z13" s="44" t="e">
        <f>IF(AND('Mapa final'!#REF!="Muy Alta",'Mapa final'!#REF!="Moderado"),CONCATENATE("R8C",'Mapa final'!#REF!),"")</f>
        <v>#REF!</v>
      </c>
      <c r="AA13" s="40" t="e">
        <f>IF(AND('Mapa final'!#REF!="Muy Alta",'Mapa final'!#REF!="Moderado"),CONCATENATE("R8C",'Mapa final'!#REF!),"")</f>
        <v>#REF!</v>
      </c>
      <c r="AB13" s="38" t="str">
        <f>IF(AND('Mapa final'!$AJ$22="Muy Alta",'Mapa final'!$AL$22="Mayor"),CONCATENATE("R8C",'Mapa final'!$V$22),"")</f>
        <v/>
      </c>
      <c r="AC13" s="39" t="str">
        <f>IF(AND('Mapa final'!$AJ$23="Muy Alta",'Mapa final'!$AL$23="Mayor"),CONCATENATE("R8C",'Mapa final'!$V$23),"")</f>
        <v/>
      </c>
      <c r="AD13" s="44" t="str">
        <f>IF(AND('Mapa final'!$AJ$24="Muy Alta",'Mapa final'!$AL$24="Mayor"),CONCATENATE("R8C",'Mapa final'!$V$24),"")</f>
        <v/>
      </c>
      <c r="AE13" s="44" t="str">
        <f>IF(AND('Mapa final'!$AJ$25="Muy Alta",'Mapa final'!$AL$25="Mayor"),CONCATENATE("R8C",'Mapa final'!$V$25),"")</f>
        <v/>
      </c>
      <c r="AF13" s="44" t="e">
        <f>IF(AND('Mapa final'!#REF!="Muy Alta",'Mapa final'!#REF!="Mayor"),CONCATENATE("R8C",'Mapa final'!#REF!),"")</f>
        <v>#REF!</v>
      </c>
      <c r="AG13" s="40" t="e">
        <f>IF(AND('Mapa final'!#REF!="Muy Alta",'Mapa final'!#REF!="Mayor"),CONCATENATE("R8C",'Mapa final'!#REF!),"")</f>
        <v>#REF!</v>
      </c>
      <c r="AH13" s="41" t="str">
        <f>IF(AND('Mapa final'!$AJ$22="Muy Alta",'Mapa final'!$AL$22="Catastrófico"),CONCATENATE("R8C",'Mapa final'!$V$22),"")</f>
        <v/>
      </c>
      <c r="AI13" s="42" t="str">
        <f>IF(AND('Mapa final'!$AJ$23="Muy Alta",'Mapa final'!$AL$23="Catastrófico"),CONCATENATE("R8C",'Mapa final'!$V$23),"")</f>
        <v/>
      </c>
      <c r="AJ13" s="42" t="str">
        <f>IF(AND('Mapa final'!$AJ$24="Muy Alta",'Mapa final'!$AL$24="Catastrófico"),CONCATENATE("R8C",'Mapa final'!$V$24),"")</f>
        <v/>
      </c>
      <c r="AK13" s="42" t="str">
        <f>IF(AND('Mapa final'!$AJ$25="Muy Alta",'Mapa final'!$AL$25="Catastrófico"),CONCATENATE("R8C",'Mapa final'!$V$25),"")</f>
        <v/>
      </c>
      <c r="AL13" s="42" t="e">
        <f>IF(AND('Mapa final'!#REF!="Muy Alta",'Mapa final'!#REF!="Catastrófico"),CONCATENATE("R8C",'Mapa final'!#REF!),"")</f>
        <v>#REF!</v>
      </c>
      <c r="AM13" s="43" t="e">
        <f>IF(AND('Mapa final'!#REF!="Muy Alta",'Mapa final'!#REF!="Catastrófico"),CONCATENATE("R8C",'Mapa final'!#REF!),"")</f>
        <v>#REF!</v>
      </c>
      <c r="AN13" s="70"/>
      <c r="AO13" s="416"/>
      <c r="AP13" s="417"/>
      <c r="AQ13" s="417"/>
      <c r="AR13" s="417"/>
      <c r="AS13" s="417"/>
      <c r="AT13" s="418"/>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row>
    <row r="14" spans="1:91" ht="15" customHeight="1" x14ac:dyDescent="0.25">
      <c r="A14" s="70"/>
      <c r="B14" s="308"/>
      <c r="C14" s="308"/>
      <c r="D14" s="309"/>
      <c r="E14" s="409"/>
      <c r="F14" s="410"/>
      <c r="G14" s="410"/>
      <c r="H14" s="410"/>
      <c r="I14" s="425"/>
      <c r="J14" s="38" t="str">
        <f>IF(AND('Mapa final'!$AJ$26="Muy Alta",'Mapa final'!$AL$26="Leve"),CONCATENATE("R9C",'Mapa final'!$V$26),"")</f>
        <v/>
      </c>
      <c r="K14" s="39" t="str">
        <f>IF(AND('Mapa final'!$AJ$27="Muy Alta",'Mapa final'!$AL$27="Leve"),CONCATENATE("R9C",'Mapa final'!$V$27),"")</f>
        <v/>
      </c>
      <c r="L14" s="44" t="str">
        <f>IF(AND('Mapa final'!$AJ$28="Muy Alta",'Mapa final'!$AL$28="Leve"),CONCATENATE("R9C",'Mapa final'!$V$28),"")</f>
        <v/>
      </c>
      <c r="M14" s="44" t="str">
        <f>IF(AND('Mapa final'!$AJ$29="Muy Alta",'Mapa final'!$AL$29="Leve"),CONCATENATE("R9C",'Mapa final'!$V$29),"")</f>
        <v/>
      </c>
      <c r="N14" s="44" t="e">
        <f>IF(AND('Mapa final'!#REF!="Muy Alta",'Mapa final'!#REF!="Leve"),CONCATENATE("R9C",'Mapa final'!#REF!),"")</f>
        <v>#REF!</v>
      </c>
      <c r="O14" s="40" t="e">
        <f>IF(AND('Mapa final'!#REF!="Muy Alta",'Mapa final'!#REF!="Leve"),CONCATENATE("R9C",'Mapa final'!#REF!),"")</f>
        <v>#REF!</v>
      </c>
      <c r="P14" s="38" t="str">
        <f>IF(AND('Mapa final'!$AJ$26="Muy Alta",'Mapa final'!$AL$26="Menor"),CONCATENATE("R9C",'Mapa final'!$V$26),"")</f>
        <v/>
      </c>
      <c r="Q14" s="39" t="str">
        <f>IF(AND('Mapa final'!$AJ$27="Muy Alta",'Mapa final'!$AL$27="Menor"),CONCATENATE("R9C",'Mapa final'!$V$27),"")</f>
        <v/>
      </c>
      <c r="R14" s="44" t="str">
        <f>IF(AND('Mapa final'!$AJ$28="Muy Alta",'Mapa final'!$AL$28="Menor"),CONCATENATE("R9C",'Mapa final'!$V$28),"")</f>
        <v/>
      </c>
      <c r="S14" s="44" t="str">
        <f>IF(AND('Mapa final'!$AJ$29="Muy Alta",'Mapa final'!$AL$29="Menor"),CONCATENATE("R9C",'Mapa final'!$V$29),"")</f>
        <v/>
      </c>
      <c r="T14" s="44" t="e">
        <f>IF(AND('Mapa final'!#REF!="Muy Alta",'Mapa final'!#REF!="Menor"),CONCATENATE("R9C",'Mapa final'!#REF!),"")</f>
        <v>#REF!</v>
      </c>
      <c r="U14" s="40" t="e">
        <f>IF(AND('Mapa final'!#REF!="Muy Alta",'Mapa final'!#REF!="Menor"),CONCATENATE("R9C",'Mapa final'!#REF!),"")</f>
        <v>#REF!</v>
      </c>
      <c r="V14" s="38" t="str">
        <f>IF(AND('Mapa final'!$AJ$26="Muy Alta",'Mapa final'!$AL$26="Moderado"),CONCATENATE("R9C",'Mapa final'!$V$26),"")</f>
        <v/>
      </c>
      <c r="W14" s="39" t="str">
        <f>IF(AND('Mapa final'!$AJ$27="Muy Alta",'Mapa final'!$AL$27="Moderado"),CONCATENATE("R9C",'Mapa final'!$V$27),"")</f>
        <v/>
      </c>
      <c r="X14" s="44" t="str">
        <f>IF(AND('Mapa final'!$AJ$28="Muy Alta",'Mapa final'!$AL$28="Moderado"),CONCATENATE("R9C",'Mapa final'!$V$28),"")</f>
        <v/>
      </c>
      <c r="Y14" s="44" t="str">
        <f>IF(AND('Mapa final'!$AJ$29="Muy Alta",'Mapa final'!$AL$29="Moderado"),CONCATENATE("R9C",'Mapa final'!$V$29),"")</f>
        <v/>
      </c>
      <c r="Z14" s="44" t="e">
        <f>IF(AND('Mapa final'!#REF!="Muy Alta",'Mapa final'!#REF!="Moderado"),CONCATENATE("R9C",'Mapa final'!#REF!),"")</f>
        <v>#REF!</v>
      </c>
      <c r="AA14" s="40" t="e">
        <f>IF(AND('Mapa final'!#REF!="Muy Alta",'Mapa final'!#REF!="Moderado"),CONCATENATE("R9C",'Mapa final'!#REF!),"")</f>
        <v>#REF!</v>
      </c>
      <c r="AB14" s="38" t="str">
        <f>IF(AND('Mapa final'!$AJ$26="Muy Alta",'Mapa final'!$AL$26="Mayor"),CONCATENATE("R9C",'Mapa final'!$V$26),"")</f>
        <v/>
      </c>
      <c r="AC14" s="39" t="str">
        <f>IF(AND('Mapa final'!$AJ$27="Muy Alta",'Mapa final'!$AL$27="Mayor"),CONCATENATE("R9C",'Mapa final'!$V$27),"")</f>
        <v/>
      </c>
      <c r="AD14" s="44" t="str">
        <f>IF(AND('Mapa final'!$AJ$28="Muy Alta",'Mapa final'!$AL$28="Mayor"),CONCATENATE("R9C",'Mapa final'!$V$28),"")</f>
        <v/>
      </c>
      <c r="AE14" s="44" t="str">
        <f>IF(AND('Mapa final'!$AJ$29="Muy Alta",'Mapa final'!$AL$29="Mayor"),CONCATENATE("R9C",'Mapa final'!$V$29),"")</f>
        <v/>
      </c>
      <c r="AF14" s="44" t="e">
        <f>IF(AND('Mapa final'!#REF!="Muy Alta",'Mapa final'!#REF!="Mayor"),CONCATENATE("R9C",'Mapa final'!#REF!),"")</f>
        <v>#REF!</v>
      </c>
      <c r="AG14" s="40" t="e">
        <f>IF(AND('Mapa final'!#REF!="Muy Alta",'Mapa final'!#REF!="Mayor"),CONCATENATE("R9C",'Mapa final'!#REF!),"")</f>
        <v>#REF!</v>
      </c>
      <c r="AH14" s="41" t="str">
        <f>IF(AND('Mapa final'!$AJ$26="Muy Alta",'Mapa final'!$AL$26="Catastrófico"),CONCATENATE("R9C",'Mapa final'!$V$26),"")</f>
        <v/>
      </c>
      <c r="AI14" s="42" t="str">
        <f>IF(AND('Mapa final'!$AJ$27="Muy Alta",'Mapa final'!$AL$27="Catastrófico"),CONCATENATE("R9C",'Mapa final'!$V$27),"")</f>
        <v/>
      </c>
      <c r="AJ14" s="42" t="str">
        <f>IF(AND('Mapa final'!$AJ$28="Muy Alta",'Mapa final'!$AL$28="Catastrófico"),CONCATENATE("R9C",'Mapa final'!$V$28),"")</f>
        <v/>
      </c>
      <c r="AK14" s="42" t="str">
        <f>IF(AND('Mapa final'!$AJ$29="Muy Alta",'Mapa final'!$AL$29="Catastrófico"),CONCATENATE("R9C",'Mapa final'!$V$29),"")</f>
        <v/>
      </c>
      <c r="AL14" s="42" t="e">
        <f>IF(AND('Mapa final'!#REF!="Muy Alta",'Mapa final'!#REF!="Catastrófico"),CONCATENATE("R9C",'Mapa final'!#REF!),"")</f>
        <v>#REF!</v>
      </c>
      <c r="AM14" s="43" t="e">
        <f>IF(AND('Mapa final'!#REF!="Muy Alta",'Mapa final'!#REF!="Catastrófico"),CONCATENATE("R9C",'Mapa final'!#REF!),"")</f>
        <v>#REF!</v>
      </c>
      <c r="AN14" s="70"/>
      <c r="AO14" s="416"/>
      <c r="AP14" s="417"/>
      <c r="AQ14" s="417"/>
      <c r="AR14" s="417"/>
      <c r="AS14" s="417"/>
      <c r="AT14" s="418"/>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row>
    <row r="15" spans="1:91" ht="15.75" customHeight="1" thickBot="1" x14ac:dyDescent="0.3">
      <c r="A15" s="70"/>
      <c r="B15" s="308"/>
      <c r="C15" s="308"/>
      <c r="D15" s="309"/>
      <c r="E15" s="411"/>
      <c r="F15" s="412"/>
      <c r="G15" s="412"/>
      <c r="H15" s="412"/>
      <c r="I15" s="426"/>
      <c r="J15" s="45" t="e">
        <f>IF(AND('Mapa final'!#REF!="Muy Alta",'Mapa final'!#REF!="Leve"),CONCATENATE("R10C",'Mapa final'!#REF!),"")</f>
        <v>#REF!</v>
      </c>
      <c r="K15" s="46" t="e">
        <f>IF(AND('Mapa final'!#REF!="Muy Alta",'Mapa final'!#REF!="Leve"),CONCATENATE("R10C",'Mapa final'!#REF!),"")</f>
        <v>#REF!</v>
      </c>
      <c r="L15" s="46" t="e">
        <f>IF(AND('Mapa final'!#REF!="Muy Alta",'Mapa final'!#REF!="Leve"),CONCATENATE("R10C",'Mapa final'!#REF!),"")</f>
        <v>#REF!</v>
      </c>
      <c r="M15" s="46" t="e">
        <f>IF(AND('Mapa final'!#REF!="Muy Alta",'Mapa final'!#REF!="Leve"),CONCATENATE("R10C",'Mapa final'!#REF!),"")</f>
        <v>#REF!</v>
      </c>
      <c r="N15" s="46" t="e">
        <f>IF(AND('Mapa final'!#REF!="Muy Alta",'Mapa final'!#REF!="Leve"),CONCATENATE("R10C",'Mapa final'!#REF!),"")</f>
        <v>#REF!</v>
      </c>
      <c r="O15" s="47" t="e">
        <f>IF(AND('Mapa final'!#REF!="Muy Alta",'Mapa final'!#REF!="Leve"),CONCATENATE("R10C",'Mapa final'!#REF!),"")</f>
        <v>#REF!</v>
      </c>
      <c r="P15" s="38" t="e">
        <f>IF(AND('Mapa final'!#REF!="Muy Alta",'Mapa final'!#REF!="Menor"),CONCATENATE("R10C",'Mapa final'!#REF!),"")</f>
        <v>#REF!</v>
      </c>
      <c r="Q15" s="39" t="e">
        <f>IF(AND('Mapa final'!#REF!="Muy Alta",'Mapa final'!#REF!="Menor"),CONCATENATE("R10C",'Mapa final'!#REF!),"")</f>
        <v>#REF!</v>
      </c>
      <c r="R15" s="39" t="e">
        <f>IF(AND('Mapa final'!#REF!="Muy Alta",'Mapa final'!#REF!="Menor"),CONCATENATE("R10C",'Mapa final'!#REF!),"")</f>
        <v>#REF!</v>
      </c>
      <c r="S15" s="39" t="e">
        <f>IF(AND('Mapa final'!#REF!="Muy Alta",'Mapa final'!#REF!="Menor"),CONCATENATE("R10C",'Mapa final'!#REF!),"")</f>
        <v>#REF!</v>
      </c>
      <c r="T15" s="39" t="e">
        <f>IF(AND('Mapa final'!#REF!="Muy Alta",'Mapa final'!#REF!="Menor"),CONCATENATE("R10C",'Mapa final'!#REF!),"")</f>
        <v>#REF!</v>
      </c>
      <c r="U15" s="40" t="e">
        <f>IF(AND('Mapa final'!#REF!="Muy Alta",'Mapa final'!#REF!="Menor"),CONCATENATE("R10C",'Mapa final'!#REF!),"")</f>
        <v>#REF!</v>
      </c>
      <c r="V15" s="45" t="e">
        <f>IF(AND('Mapa final'!#REF!="Muy Alta",'Mapa final'!#REF!="Moderado"),CONCATENATE("R10C",'Mapa final'!#REF!),"")</f>
        <v>#REF!</v>
      </c>
      <c r="W15" s="46" t="e">
        <f>IF(AND('Mapa final'!#REF!="Muy Alta",'Mapa final'!#REF!="Moderado"),CONCATENATE("R10C",'Mapa final'!#REF!),"")</f>
        <v>#REF!</v>
      </c>
      <c r="X15" s="46" t="e">
        <f>IF(AND('Mapa final'!#REF!="Muy Alta",'Mapa final'!#REF!="Moderado"),CONCATENATE("R10C",'Mapa final'!#REF!),"")</f>
        <v>#REF!</v>
      </c>
      <c r="Y15" s="46" t="e">
        <f>IF(AND('Mapa final'!#REF!="Muy Alta",'Mapa final'!#REF!="Moderado"),CONCATENATE("R10C",'Mapa final'!#REF!),"")</f>
        <v>#REF!</v>
      </c>
      <c r="Z15" s="46" t="e">
        <f>IF(AND('Mapa final'!#REF!="Muy Alta",'Mapa final'!#REF!="Moderado"),CONCATENATE("R10C",'Mapa final'!#REF!),"")</f>
        <v>#REF!</v>
      </c>
      <c r="AA15" s="47" t="e">
        <f>IF(AND('Mapa final'!#REF!="Muy Alta",'Mapa final'!#REF!="Moderado"),CONCATENATE("R10C",'Mapa final'!#REF!),"")</f>
        <v>#REF!</v>
      </c>
      <c r="AB15" s="38" t="e">
        <f>IF(AND('Mapa final'!#REF!="Muy Alta",'Mapa final'!#REF!="Mayor"),CONCATENATE("R10C",'Mapa final'!#REF!),"")</f>
        <v>#REF!</v>
      </c>
      <c r="AC15" s="39" t="e">
        <f>IF(AND('Mapa final'!#REF!="Muy Alta",'Mapa final'!#REF!="Mayor"),CONCATENATE("R10C",'Mapa final'!#REF!),"")</f>
        <v>#REF!</v>
      </c>
      <c r="AD15" s="39" t="e">
        <f>IF(AND('Mapa final'!#REF!="Muy Alta",'Mapa final'!#REF!="Mayor"),CONCATENATE("R10C",'Mapa final'!#REF!),"")</f>
        <v>#REF!</v>
      </c>
      <c r="AE15" s="39" t="e">
        <f>IF(AND('Mapa final'!#REF!="Muy Alta",'Mapa final'!#REF!="Mayor"),CONCATENATE("R10C",'Mapa final'!#REF!),"")</f>
        <v>#REF!</v>
      </c>
      <c r="AF15" s="39" t="e">
        <f>IF(AND('Mapa final'!#REF!="Muy Alta",'Mapa final'!#REF!="Mayor"),CONCATENATE("R10C",'Mapa final'!#REF!),"")</f>
        <v>#REF!</v>
      </c>
      <c r="AG15" s="40" t="e">
        <f>IF(AND('Mapa final'!#REF!="Muy Alta",'Mapa final'!#REF!="Mayor"),CONCATENATE("R10C",'Mapa final'!#REF!),"")</f>
        <v>#REF!</v>
      </c>
      <c r="AH15" s="48" t="e">
        <f>IF(AND('Mapa final'!#REF!="Muy Alta",'Mapa final'!#REF!="Catastrófico"),CONCATENATE("R10C",'Mapa final'!#REF!),"")</f>
        <v>#REF!</v>
      </c>
      <c r="AI15" s="49" t="e">
        <f>IF(AND('Mapa final'!#REF!="Muy Alta",'Mapa final'!#REF!="Catastrófico"),CONCATENATE("R10C",'Mapa final'!#REF!),"")</f>
        <v>#REF!</v>
      </c>
      <c r="AJ15" s="49" t="e">
        <f>IF(AND('Mapa final'!#REF!="Muy Alta",'Mapa final'!#REF!="Catastrófico"),CONCATENATE("R10C",'Mapa final'!#REF!),"")</f>
        <v>#REF!</v>
      </c>
      <c r="AK15" s="49" t="e">
        <f>IF(AND('Mapa final'!#REF!="Muy Alta",'Mapa final'!#REF!="Catastrófico"),CONCATENATE("R10C",'Mapa final'!#REF!),"")</f>
        <v>#REF!</v>
      </c>
      <c r="AL15" s="49" t="e">
        <f>IF(AND('Mapa final'!#REF!="Muy Alta",'Mapa final'!#REF!="Catastrófico"),CONCATENATE("R10C",'Mapa final'!#REF!),"")</f>
        <v>#REF!</v>
      </c>
      <c r="AM15" s="50" t="e">
        <f>IF(AND('Mapa final'!#REF!="Muy Alta",'Mapa final'!#REF!="Catastrófico"),CONCATENATE("R10C",'Mapa final'!#REF!),"")</f>
        <v>#REF!</v>
      </c>
      <c r="AN15" s="70"/>
      <c r="AO15" s="419"/>
      <c r="AP15" s="420"/>
      <c r="AQ15" s="420"/>
      <c r="AR15" s="420"/>
      <c r="AS15" s="420"/>
      <c r="AT15" s="421"/>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row>
    <row r="16" spans="1:91" ht="15" customHeight="1" x14ac:dyDescent="0.25">
      <c r="A16" s="70"/>
      <c r="B16" s="308"/>
      <c r="C16" s="308"/>
      <c r="D16" s="309"/>
      <c r="E16" s="405" t="s">
        <v>278</v>
      </c>
      <c r="F16" s="406"/>
      <c r="G16" s="406"/>
      <c r="H16" s="406"/>
      <c r="I16" s="406"/>
      <c r="J16" s="51" t="str">
        <f>IF(AND('Mapa final'!$AJ$7="Alta",'Mapa final'!$AL$7="Leve"),CONCATENATE("R1C",'Mapa final'!$V$7),"")</f>
        <v/>
      </c>
      <c r="K16" s="52" t="e">
        <f>IF(AND('Mapa final'!#REF!="Alta",'Mapa final'!#REF!="Leve"),CONCATENATE("R1C",'Mapa final'!#REF!),"")</f>
        <v>#REF!</v>
      </c>
      <c r="L16" s="52" t="e">
        <f>IF(AND('Mapa final'!#REF!="Alta",'Mapa final'!#REF!="Leve"),CONCATENATE("R1C",'Mapa final'!#REF!),"")</f>
        <v>#REF!</v>
      </c>
      <c r="M16" s="52" t="e">
        <f>IF(AND('Mapa final'!#REF!="Alta",'Mapa final'!#REF!="Leve"),CONCATENATE("R1C",'Mapa final'!#REF!),"")</f>
        <v>#REF!</v>
      </c>
      <c r="N16" s="52" t="e">
        <f>IF(AND('Mapa final'!#REF!="Alta",'Mapa final'!#REF!="Leve"),CONCATENATE("R1C",'Mapa final'!#REF!),"")</f>
        <v>#REF!</v>
      </c>
      <c r="O16" s="53" t="e">
        <f>IF(AND('Mapa final'!#REF!="Alta",'Mapa final'!#REF!="Leve"),CONCATENATE("R1C",'Mapa final'!#REF!),"")</f>
        <v>#REF!</v>
      </c>
      <c r="P16" s="51" t="str">
        <f>IF(AND('Mapa final'!$AJ$7="Alta",'Mapa final'!$AL$7="Menor"),CONCATENATE("R1C",'Mapa final'!$V$7),"")</f>
        <v/>
      </c>
      <c r="Q16" s="52" t="e">
        <f>IF(AND('Mapa final'!#REF!="Alta",'Mapa final'!#REF!="Menor"),CONCATENATE("R1C",'Mapa final'!#REF!),"")</f>
        <v>#REF!</v>
      </c>
      <c r="R16" s="52" t="e">
        <f>IF(AND('Mapa final'!#REF!="Alta",'Mapa final'!#REF!="Menor"),CONCATENATE("R1C",'Mapa final'!#REF!),"")</f>
        <v>#REF!</v>
      </c>
      <c r="S16" s="52" t="e">
        <f>IF(AND('Mapa final'!#REF!="Alta",'Mapa final'!#REF!="Menor"),CONCATENATE("R1C",'Mapa final'!#REF!),"")</f>
        <v>#REF!</v>
      </c>
      <c r="T16" s="52" t="e">
        <f>IF(AND('Mapa final'!#REF!="Alta",'Mapa final'!#REF!="Menor"),CONCATENATE("R1C",'Mapa final'!#REF!),"")</f>
        <v>#REF!</v>
      </c>
      <c r="U16" s="53" t="e">
        <f>IF(AND('Mapa final'!#REF!="Alta",'Mapa final'!#REF!="Menor"),CONCATENATE("R1C",'Mapa final'!#REF!),"")</f>
        <v>#REF!</v>
      </c>
      <c r="V16" s="32" t="str">
        <f>IF(AND('Mapa final'!$AJ$7="Alta",'Mapa final'!$AL$7="Moderado"),CONCATENATE("R1C",'Mapa final'!$V$7),"")</f>
        <v/>
      </c>
      <c r="W16" s="33" t="e">
        <f>IF(AND('Mapa final'!#REF!="Alta",'Mapa final'!#REF!="Moderado"),CONCATENATE("R1C",'Mapa final'!#REF!),"")</f>
        <v>#REF!</v>
      </c>
      <c r="X16" s="33" t="e">
        <f>IF(AND('Mapa final'!#REF!="Alta",'Mapa final'!#REF!="Moderado"),CONCATENATE("R1C",'Mapa final'!#REF!),"")</f>
        <v>#REF!</v>
      </c>
      <c r="Y16" s="33" t="e">
        <f>IF(AND('Mapa final'!#REF!="Alta",'Mapa final'!#REF!="Moderado"),CONCATENATE("R1C",'Mapa final'!#REF!),"")</f>
        <v>#REF!</v>
      </c>
      <c r="Z16" s="33" t="e">
        <f>IF(AND('Mapa final'!#REF!="Alta",'Mapa final'!#REF!="Moderado"),CONCATENATE("R1C",'Mapa final'!#REF!),"")</f>
        <v>#REF!</v>
      </c>
      <c r="AA16" s="34" t="e">
        <f>IF(AND('Mapa final'!#REF!="Alta",'Mapa final'!#REF!="Moderado"),CONCATENATE("R1C",'Mapa final'!#REF!),"")</f>
        <v>#REF!</v>
      </c>
      <c r="AB16" s="32" t="str">
        <f>IF(AND('Mapa final'!$AJ$7="Alta",'Mapa final'!$AL$7="Mayor"),CONCATENATE("R1C",'Mapa final'!$V$7),"")</f>
        <v/>
      </c>
      <c r="AC16" s="33" t="e">
        <f>IF(AND('Mapa final'!#REF!="Alta",'Mapa final'!#REF!="Mayor"),CONCATENATE("R1C",'Mapa final'!#REF!),"")</f>
        <v>#REF!</v>
      </c>
      <c r="AD16" s="33" t="e">
        <f>IF(AND('Mapa final'!#REF!="Alta",'Mapa final'!#REF!="Mayor"),CONCATENATE("R1C",'Mapa final'!#REF!),"")</f>
        <v>#REF!</v>
      </c>
      <c r="AE16" s="33" t="e">
        <f>IF(AND('Mapa final'!#REF!="Alta",'Mapa final'!#REF!="Mayor"),CONCATENATE("R1C",'Mapa final'!#REF!),"")</f>
        <v>#REF!</v>
      </c>
      <c r="AF16" s="33" t="e">
        <f>IF(AND('Mapa final'!#REF!="Alta",'Mapa final'!#REF!="Mayor"),CONCATENATE("R1C",'Mapa final'!#REF!),"")</f>
        <v>#REF!</v>
      </c>
      <c r="AG16" s="34" t="e">
        <f>IF(AND('Mapa final'!#REF!="Alta",'Mapa final'!#REF!="Mayor"),CONCATENATE("R1C",'Mapa final'!#REF!),"")</f>
        <v>#REF!</v>
      </c>
      <c r="AH16" s="35" t="str">
        <f>IF(AND('Mapa final'!$AJ$7="Alta",'Mapa final'!$AL$7="Catastrófico"),CONCATENATE("R1C",'Mapa final'!$V$7),"")</f>
        <v/>
      </c>
      <c r="AI16" s="36" t="e">
        <f>IF(AND('Mapa final'!#REF!="Alta",'Mapa final'!#REF!="Catastrófico"),CONCATENATE("R1C",'Mapa final'!#REF!),"")</f>
        <v>#REF!</v>
      </c>
      <c r="AJ16" s="36" t="e">
        <f>IF(AND('Mapa final'!#REF!="Alta",'Mapa final'!#REF!="Catastrófico"),CONCATENATE("R1C",'Mapa final'!#REF!),"")</f>
        <v>#REF!</v>
      </c>
      <c r="AK16" s="36" t="e">
        <f>IF(AND('Mapa final'!#REF!="Alta",'Mapa final'!#REF!="Catastrófico"),CONCATENATE("R1C",'Mapa final'!#REF!),"")</f>
        <v>#REF!</v>
      </c>
      <c r="AL16" s="36" t="e">
        <f>IF(AND('Mapa final'!#REF!="Alta",'Mapa final'!#REF!="Catastrófico"),CONCATENATE("R1C",'Mapa final'!#REF!),"")</f>
        <v>#REF!</v>
      </c>
      <c r="AM16" s="37" t="e">
        <f>IF(AND('Mapa final'!#REF!="Alta",'Mapa final'!#REF!="Catastrófico"),CONCATENATE("R1C",'Mapa final'!#REF!),"")</f>
        <v>#REF!</v>
      </c>
      <c r="AN16" s="70"/>
      <c r="AO16" s="396" t="s">
        <v>279</v>
      </c>
      <c r="AP16" s="397"/>
      <c r="AQ16" s="397"/>
      <c r="AR16" s="397"/>
      <c r="AS16" s="397"/>
      <c r="AT16" s="398"/>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row>
    <row r="17" spans="1:76" ht="15" customHeight="1" x14ac:dyDescent="0.25">
      <c r="A17" s="70"/>
      <c r="B17" s="308"/>
      <c r="C17" s="308"/>
      <c r="D17" s="309"/>
      <c r="E17" s="407"/>
      <c r="F17" s="408"/>
      <c r="G17" s="408"/>
      <c r="H17" s="408"/>
      <c r="I17" s="408"/>
      <c r="J17" s="54" t="str">
        <f>IF(AND('Mapa final'!$AJ$8="Alta",'Mapa final'!$AL$8="Leve"),CONCATENATE("R2C",'Mapa final'!$V$8),"")</f>
        <v/>
      </c>
      <c r="K17" s="55" t="str">
        <f>IF(AND('Mapa final'!$AJ$9="Alta",'Mapa final'!$AL$9="Leve"),CONCATENATE("R2C",'Mapa final'!$V$9),"")</f>
        <v/>
      </c>
      <c r="L17" s="55" t="e">
        <f>IF(AND('Mapa final'!#REF!="Alta",'Mapa final'!#REF!="Leve"),CONCATENATE("R2C",'Mapa final'!#REF!),"")</f>
        <v>#REF!</v>
      </c>
      <c r="M17" s="55" t="e">
        <f>IF(AND('Mapa final'!#REF!="Alta",'Mapa final'!#REF!="Leve"),CONCATENATE("R2C",'Mapa final'!#REF!),"")</f>
        <v>#REF!</v>
      </c>
      <c r="N17" s="55" t="e">
        <f>IF(AND('Mapa final'!#REF!="Alta",'Mapa final'!#REF!="Leve"),CONCATENATE("R2C",'Mapa final'!#REF!),"")</f>
        <v>#REF!</v>
      </c>
      <c r="O17" s="56" t="e">
        <f>IF(AND('Mapa final'!#REF!="Alta",'Mapa final'!#REF!="Leve"),CONCATENATE("R2C",'Mapa final'!#REF!),"")</f>
        <v>#REF!</v>
      </c>
      <c r="P17" s="54" t="str">
        <f>IF(AND('Mapa final'!$AJ$8="Alta",'Mapa final'!$AL$8="Menor"),CONCATENATE("R2C",'Mapa final'!$V$8),"")</f>
        <v/>
      </c>
      <c r="Q17" s="55" t="str">
        <f>IF(AND('Mapa final'!$AJ$9="Alta",'Mapa final'!$AL$9="Menor"),CONCATENATE("R2C",'Mapa final'!$V$9),"")</f>
        <v/>
      </c>
      <c r="R17" s="55" t="e">
        <f>IF(AND('Mapa final'!#REF!="Alta",'Mapa final'!#REF!="Menor"),CONCATENATE("R2C",'Mapa final'!#REF!),"")</f>
        <v>#REF!</v>
      </c>
      <c r="S17" s="55" t="e">
        <f>IF(AND('Mapa final'!#REF!="Alta",'Mapa final'!#REF!="Menor"),CONCATENATE("R2C",'Mapa final'!#REF!),"")</f>
        <v>#REF!</v>
      </c>
      <c r="T17" s="55" t="e">
        <f>IF(AND('Mapa final'!#REF!="Alta",'Mapa final'!#REF!="Menor"),CONCATENATE("R2C",'Mapa final'!#REF!),"")</f>
        <v>#REF!</v>
      </c>
      <c r="U17" s="56" t="e">
        <f>IF(AND('Mapa final'!#REF!="Alta",'Mapa final'!#REF!="Menor"),CONCATENATE("R2C",'Mapa final'!#REF!),"")</f>
        <v>#REF!</v>
      </c>
      <c r="V17" s="38" t="str">
        <f>IF(AND('Mapa final'!$AJ$8="Alta",'Mapa final'!$AL$8="Moderado"),CONCATENATE("R2C",'Mapa final'!$V$8),"")</f>
        <v/>
      </c>
      <c r="W17" s="39" t="str">
        <f>IF(AND('Mapa final'!$AJ$9="Alta",'Mapa final'!$AL$9="Moderado"),CONCATENATE("R2C",'Mapa final'!$V$9),"")</f>
        <v/>
      </c>
      <c r="X17" s="39" t="e">
        <f>IF(AND('Mapa final'!#REF!="Alta",'Mapa final'!#REF!="Moderado"),CONCATENATE("R2C",'Mapa final'!#REF!),"")</f>
        <v>#REF!</v>
      </c>
      <c r="Y17" s="39" t="e">
        <f>IF(AND('Mapa final'!#REF!="Alta",'Mapa final'!#REF!="Moderado"),CONCATENATE("R2C",'Mapa final'!#REF!),"")</f>
        <v>#REF!</v>
      </c>
      <c r="Z17" s="39" t="e">
        <f>IF(AND('Mapa final'!#REF!="Alta",'Mapa final'!#REF!="Moderado"),CONCATENATE("R2C",'Mapa final'!#REF!),"")</f>
        <v>#REF!</v>
      </c>
      <c r="AA17" s="40" t="e">
        <f>IF(AND('Mapa final'!#REF!="Alta",'Mapa final'!#REF!="Moderado"),CONCATENATE("R2C",'Mapa final'!#REF!),"")</f>
        <v>#REF!</v>
      </c>
      <c r="AB17" s="38" t="str">
        <f>IF(AND('Mapa final'!$AJ$8="Alta",'Mapa final'!$AL$8="Mayor"),CONCATENATE("R2C",'Mapa final'!$V$8),"")</f>
        <v/>
      </c>
      <c r="AC17" s="39" t="str">
        <f>IF(AND('Mapa final'!$AJ$9="Alta",'Mapa final'!$AL$9="Mayor"),CONCATENATE("R2C",'Mapa final'!$V$9),"")</f>
        <v/>
      </c>
      <c r="AD17" s="39" t="e">
        <f>IF(AND('Mapa final'!#REF!="Alta",'Mapa final'!#REF!="Mayor"),CONCATENATE("R2C",'Mapa final'!#REF!),"")</f>
        <v>#REF!</v>
      </c>
      <c r="AE17" s="39" t="e">
        <f>IF(AND('Mapa final'!#REF!="Alta",'Mapa final'!#REF!="Mayor"),CONCATENATE("R2C",'Mapa final'!#REF!),"")</f>
        <v>#REF!</v>
      </c>
      <c r="AF17" s="39" t="e">
        <f>IF(AND('Mapa final'!#REF!="Alta",'Mapa final'!#REF!="Mayor"),CONCATENATE("R2C",'Mapa final'!#REF!),"")</f>
        <v>#REF!</v>
      </c>
      <c r="AG17" s="40" t="e">
        <f>IF(AND('Mapa final'!#REF!="Alta",'Mapa final'!#REF!="Mayor"),CONCATENATE("R2C",'Mapa final'!#REF!),"")</f>
        <v>#REF!</v>
      </c>
      <c r="AH17" s="41" t="str">
        <f>IF(AND('Mapa final'!$AJ$8="Alta",'Mapa final'!$AL$8="Catastrófico"),CONCATENATE("R2C",'Mapa final'!$V$8),"")</f>
        <v/>
      </c>
      <c r="AI17" s="42" t="str">
        <f>IF(AND('Mapa final'!$AJ$9="Alta",'Mapa final'!$AL$9="Catastrófico"),CONCATENATE("R2C",'Mapa final'!$V$9),"")</f>
        <v/>
      </c>
      <c r="AJ17" s="42" t="e">
        <f>IF(AND('Mapa final'!#REF!="Alta",'Mapa final'!#REF!="Catastrófico"),CONCATENATE("R2C",'Mapa final'!#REF!),"")</f>
        <v>#REF!</v>
      </c>
      <c r="AK17" s="42" t="e">
        <f>IF(AND('Mapa final'!#REF!="Alta",'Mapa final'!#REF!="Catastrófico"),CONCATENATE("R2C",'Mapa final'!#REF!),"")</f>
        <v>#REF!</v>
      </c>
      <c r="AL17" s="42" t="e">
        <f>IF(AND('Mapa final'!#REF!="Alta",'Mapa final'!#REF!="Catastrófico"),CONCATENATE("R2C",'Mapa final'!#REF!),"")</f>
        <v>#REF!</v>
      </c>
      <c r="AM17" s="43" t="e">
        <f>IF(AND('Mapa final'!#REF!="Alta",'Mapa final'!#REF!="Catastrófico"),CONCATENATE("R2C",'Mapa final'!#REF!),"")</f>
        <v>#REF!</v>
      </c>
      <c r="AN17" s="70"/>
      <c r="AO17" s="399"/>
      <c r="AP17" s="400"/>
      <c r="AQ17" s="400"/>
      <c r="AR17" s="400"/>
      <c r="AS17" s="400"/>
      <c r="AT17" s="401"/>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row>
    <row r="18" spans="1:76" ht="15" customHeight="1" x14ac:dyDescent="0.25">
      <c r="A18" s="70"/>
      <c r="B18" s="308"/>
      <c r="C18" s="308"/>
      <c r="D18" s="309"/>
      <c r="E18" s="409"/>
      <c r="F18" s="410"/>
      <c r="G18" s="410"/>
      <c r="H18" s="410"/>
      <c r="I18" s="408"/>
      <c r="J18" s="54" t="str">
        <f>IF(AND('Mapa final'!$AJ$10="Alta",'Mapa final'!$AL$10="Leve"),CONCATENATE("R3C",'Mapa final'!$V$10),"")</f>
        <v/>
      </c>
      <c r="K18" s="55" t="str">
        <f>IF(AND('Mapa final'!$AJ$11="Alta",'Mapa final'!$AL$11="Leve"),CONCATENATE("R3C",'Mapa final'!$V$11),"")</f>
        <v/>
      </c>
      <c r="L18" s="55" t="e">
        <f>IF(AND('Mapa final'!#REF!="Alta",'Mapa final'!#REF!="Leve"),CONCATENATE("R3C",'Mapa final'!#REF!),"")</f>
        <v>#REF!</v>
      </c>
      <c r="M18" s="55" t="e">
        <f>IF(AND('Mapa final'!#REF!="Alta",'Mapa final'!#REF!="Leve"),CONCATENATE("R3C",'Mapa final'!#REF!),"")</f>
        <v>#REF!</v>
      </c>
      <c r="N18" s="55" t="e">
        <f>IF(AND('Mapa final'!#REF!="Alta",'Mapa final'!#REF!="Leve"),CONCATENATE("R3C",'Mapa final'!#REF!),"")</f>
        <v>#REF!</v>
      </c>
      <c r="O18" s="56" t="e">
        <f>IF(AND('Mapa final'!#REF!="Alta",'Mapa final'!#REF!="Leve"),CONCATENATE("R3C",'Mapa final'!#REF!),"")</f>
        <v>#REF!</v>
      </c>
      <c r="P18" s="54" t="str">
        <f>IF(AND('Mapa final'!$AJ$10="Alta",'Mapa final'!$AL$10="Menor"),CONCATENATE("R3C",'Mapa final'!$V$10),"")</f>
        <v/>
      </c>
      <c r="Q18" s="55" t="str">
        <f>IF(AND('Mapa final'!$AJ$11="Alta",'Mapa final'!$AL$11="Menor"),CONCATENATE("R3C",'Mapa final'!$V$11),"")</f>
        <v/>
      </c>
      <c r="R18" s="55" t="e">
        <f>IF(AND('Mapa final'!#REF!="Alta",'Mapa final'!#REF!="Menor"),CONCATENATE("R3C",'Mapa final'!#REF!),"")</f>
        <v>#REF!</v>
      </c>
      <c r="S18" s="55" t="e">
        <f>IF(AND('Mapa final'!#REF!="Alta",'Mapa final'!#REF!="Menor"),CONCATENATE("R3C",'Mapa final'!#REF!),"")</f>
        <v>#REF!</v>
      </c>
      <c r="T18" s="55" t="e">
        <f>IF(AND('Mapa final'!#REF!="Alta",'Mapa final'!#REF!="Menor"),CONCATENATE("R3C",'Mapa final'!#REF!),"")</f>
        <v>#REF!</v>
      </c>
      <c r="U18" s="56" t="e">
        <f>IF(AND('Mapa final'!#REF!="Alta",'Mapa final'!#REF!="Menor"),CONCATENATE("R3C",'Mapa final'!#REF!),"")</f>
        <v>#REF!</v>
      </c>
      <c r="V18" s="38" t="str">
        <f>IF(AND('Mapa final'!$AJ$10="Alta",'Mapa final'!$AL$10="Moderado"),CONCATENATE("R3C",'Mapa final'!$V$10),"")</f>
        <v/>
      </c>
      <c r="W18" s="39" t="str">
        <f>IF(AND('Mapa final'!$AJ$11="Alta",'Mapa final'!$AL$11="Moderado"),CONCATENATE("R3C",'Mapa final'!$V$11),"")</f>
        <v/>
      </c>
      <c r="X18" s="39" t="e">
        <f>IF(AND('Mapa final'!#REF!="Alta",'Mapa final'!#REF!="Moderado"),CONCATENATE("R3C",'Mapa final'!#REF!),"")</f>
        <v>#REF!</v>
      </c>
      <c r="Y18" s="39" t="e">
        <f>IF(AND('Mapa final'!#REF!="Alta",'Mapa final'!#REF!="Moderado"),CONCATENATE("R3C",'Mapa final'!#REF!),"")</f>
        <v>#REF!</v>
      </c>
      <c r="Z18" s="39" t="e">
        <f>IF(AND('Mapa final'!#REF!="Alta",'Mapa final'!#REF!="Moderado"),CONCATENATE("R3C",'Mapa final'!#REF!),"")</f>
        <v>#REF!</v>
      </c>
      <c r="AA18" s="40" t="e">
        <f>IF(AND('Mapa final'!#REF!="Alta",'Mapa final'!#REF!="Moderado"),CONCATENATE("R3C",'Mapa final'!#REF!),"")</f>
        <v>#REF!</v>
      </c>
      <c r="AB18" s="38" t="str">
        <f>IF(AND('Mapa final'!$AJ$10="Alta",'Mapa final'!$AL$10="Mayor"),CONCATENATE("R3C",'Mapa final'!$V$10),"")</f>
        <v/>
      </c>
      <c r="AC18" s="39" t="str">
        <f>IF(AND('Mapa final'!$AJ$11="Alta",'Mapa final'!$AL$11="Mayor"),CONCATENATE("R3C",'Mapa final'!$V$11),"")</f>
        <v/>
      </c>
      <c r="AD18" s="39" t="e">
        <f>IF(AND('Mapa final'!#REF!="Alta",'Mapa final'!#REF!="Mayor"),CONCATENATE("R3C",'Mapa final'!#REF!),"")</f>
        <v>#REF!</v>
      </c>
      <c r="AE18" s="39" t="e">
        <f>IF(AND('Mapa final'!#REF!="Alta",'Mapa final'!#REF!="Mayor"),CONCATENATE("R3C",'Mapa final'!#REF!),"")</f>
        <v>#REF!</v>
      </c>
      <c r="AF18" s="39" t="e">
        <f>IF(AND('Mapa final'!#REF!="Alta",'Mapa final'!#REF!="Mayor"),CONCATENATE("R3C",'Mapa final'!#REF!),"")</f>
        <v>#REF!</v>
      </c>
      <c r="AG18" s="40" t="e">
        <f>IF(AND('Mapa final'!#REF!="Alta",'Mapa final'!#REF!="Mayor"),CONCATENATE("R3C",'Mapa final'!#REF!),"")</f>
        <v>#REF!</v>
      </c>
      <c r="AH18" s="41" t="str">
        <f>IF(AND('Mapa final'!$AJ$10="Alta",'Mapa final'!$AL$10="Catastrófico"),CONCATENATE("R3C",'Mapa final'!$V$10),"")</f>
        <v/>
      </c>
      <c r="AI18" s="42" t="str">
        <f>IF(AND('Mapa final'!$AJ$11="Alta",'Mapa final'!$AL$11="Catastrófico"),CONCATENATE("R3C",'Mapa final'!$V$11),"")</f>
        <v/>
      </c>
      <c r="AJ18" s="42" t="e">
        <f>IF(AND('Mapa final'!#REF!="Alta",'Mapa final'!#REF!="Catastrófico"),CONCATENATE("R3C",'Mapa final'!#REF!),"")</f>
        <v>#REF!</v>
      </c>
      <c r="AK18" s="42" t="e">
        <f>IF(AND('Mapa final'!#REF!="Alta",'Mapa final'!#REF!="Catastrófico"),CONCATENATE("R3C",'Mapa final'!#REF!),"")</f>
        <v>#REF!</v>
      </c>
      <c r="AL18" s="42" t="e">
        <f>IF(AND('Mapa final'!#REF!="Alta",'Mapa final'!#REF!="Catastrófico"),CONCATENATE("R3C",'Mapa final'!#REF!),"")</f>
        <v>#REF!</v>
      </c>
      <c r="AM18" s="43" t="e">
        <f>IF(AND('Mapa final'!#REF!="Alta",'Mapa final'!#REF!="Catastrófico"),CONCATENATE("R3C",'Mapa final'!#REF!),"")</f>
        <v>#REF!</v>
      </c>
      <c r="AN18" s="70"/>
      <c r="AO18" s="399"/>
      <c r="AP18" s="400"/>
      <c r="AQ18" s="400"/>
      <c r="AR18" s="400"/>
      <c r="AS18" s="400"/>
      <c r="AT18" s="401"/>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row>
    <row r="19" spans="1:76" ht="15" customHeight="1" x14ac:dyDescent="0.25">
      <c r="A19" s="70"/>
      <c r="B19" s="308"/>
      <c r="C19" s="308"/>
      <c r="D19" s="309"/>
      <c r="E19" s="409"/>
      <c r="F19" s="410"/>
      <c r="G19" s="410"/>
      <c r="H19" s="410"/>
      <c r="I19" s="408"/>
      <c r="J19" s="54" t="str">
        <f>IF(AND('Mapa final'!$AJ$12="Alta",'Mapa final'!$AL$12="Leve"),CONCATENATE("R4C",'Mapa final'!$V$12),"")</f>
        <v/>
      </c>
      <c r="K19" s="55" t="str">
        <f>IF(AND('Mapa final'!$AJ$13="Alta",'Mapa final'!$AL$13="Leve"),CONCATENATE("R4C",'Mapa final'!$V$13),"")</f>
        <v/>
      </c>
      <c r="L19" s="55" t="str">
        <f>IF(AND('Mapa final'!$AJ$14="Alta",'Mapa final'!$AL$14="Leve"),CONCATENATE("R4C",'Mapa final'!$V$14),"")</f>
        <v/>
      </c>
      <c r="M19" s="55" t="e">
        <f>IF(AND('Mapa final'!#REF!="Alta",'Mapa final'!#REF!="Leve"),CONCATENATE("R4C",'Mapa final'!#REF!),"")</f>
        <v>#REF!</v>
      </c>
      <c r="N19" s="55" t="e">
        <f>IF(AND('Mapa final'!#REF!="Alta",'Mapa final'!#REF!="Leve"),CONCATENATE("R4C",'Mapa final'!#REF!),"")</f>
        <v>#REF!</v>
      </c>
      <c r="O19" s="56" t="e">
        <f>IF(AND('Mapa final'!#REF!="Alta",'Mapa final'!#REF!="Leve"),CONCATENATE("R4C",'Mapa final'!#REF!),"")</f>
        <v>#REF!</v>
      </c>
      <c r="P19" s="54" t="str">
        <f>IF(AND('Mapa final'!$AJ$12="Alta",'Mapa final'!$AL$12="Menor"),CONCATENATE("R4C",'Mapa final'!$V$12),"")</f>
        <v/>
      </c>
      <c r="Q19" s="55" t="str">
        <f>IF(AND('Mapa final'!$AJ$13="Alta",'Mapa final'!$AL$13="Menor"),CONCATENATE("R4C",'Mapa final'!$V$13),"")</f>
        <v/>
      </c>
      <c r="R19" s="55" t="str">
        <f>IF(AND('Mapa final'!$AJ$14="Alta",'Mapa final'!$AL$14="Menor"),CONCATENATE("R4C",'Mapa final'!$V$14),"")</f>
        <v/>
      </c>
      <c r="S19" s="55" t="e">
        <f>IF(AND('Mapa final'!#REF!="Alta",'Mapa final'!#REF!="Menor"),CONCATENATE("R4C",'Mapa final'!#REF!),"")</f>
        <v>#REF!</v>
      </c>
      <c r="T19" s="55" t="e">
        <f>IF(AND('Mapa final'!#REF!="Alta",'Mapa final'!#REF!="Menor"),CONCATENATE("R4C",'Mapa final'!#REF!),"")</f>
        <v>#REF!</v>
      </c>
      <c r="U19" s="56" t="e">
        <f>IF(AND('Mapa final'!#REF!="Alta",'Mapa final'!#REF!="Menor"),CONCATENATE("R4C",'Mapa final'!#REF!),"")</f>
        <v>#REF!</v>
      </c>
      <c r="V19" s="38" t="str">
        <f>IF(AND('Mapa final'!$AJ$12="Alta",'Mapa final'!$AL$12="Moderado"),CONCATENATE("R4C",'Mapa final'!$V$12),"")</f>
        <v/>
      </c>
      <c r="W19" s="39" t="str">
        <f>IF(AND('Mapa final'!$AJ$13="Alta",'Mapa final'!$AL$13="Moderado"),CONCATENATE("R4C",'Mapa final'!$V$13),"")</f>
        <v/>
      </c>
      <c r="X19" s="44" t="str">
        <f>IF(AND('Mapa final'!$AJ$14="Alta",'Mapa final'!$AL$14="Moderado"),CONCATENATE("R4C",'Mapa final'!$V$14),"")</f>
        <v/>
      </c>
      <c r="Y19" s="44" t="e">
        <f>IF(AND('Mapa final'!#REF!="Alta",'Mapa final'!#REF!="Moderado"),CONCATENATE("R4C",'Mapa final'!#REF!),"")</f>
        <v>#REF!</v>
      </c>
      <c r="Z19" s="44" t="e">
        <f>IF(AND('Mapa final'!#REF!="Alta",'Mapa final'!#REF!="Moderado"),CONCATENATE("R4C",'Mapa final'!#REF!),"")</f>
        <v>#REF!</v>
      </c>
      <c r="AA19" s="40" t="e">
        <f>IF(AND('Mapa final'!#REF!="Alta",'Mapa final'!#REF!="Moderado"),CONCATENATE("R4C",'Mapa final'!#REF!),"")</f>
        <v>#REF!</v>
      </c>
      <c r="AB19" s="38" t="str">
        <f>IF(AND('Mapa final'!$AJ$12="Alta",'Mapa final'!$AL$12="Mayor"),CONCATENATE("R4C",'Mapa final'!$V$12),"")</f>
        <v/>
      </c>
      <c r="AC19" s="39" t="str">
        <f>IF(AND('Mapa final'!$AJ$13="Alta",'Mapa final'!$AL$13="Mayor"),CONCATENATE("R4C",'Mapa final'!$V$13),"")</f>
        <v/>
      </c>
      <c r="AD19" s="44" t="str">
        <f>IF(AND('Mapa final'!$AJ$14="Alta",'Mapa final'!$AL$14="Mayor"),CONCATENATE("R4C",'Mapa final'!$V$14),"")</f>
        <v/>
      </c>
      <c r="AE19" s="44" t="e">
        <f>IF(AND('Mapa final'!#REF!="Alta",'Mapa final'!#REF!="Mayor"),CONCATENATE("R4C",'Mapa final'!#REF!),"")</f>
        <v>#REF!</v>
      </c>
      <c r="AF19" s="44" t="e">
        <f>IF(AND('Mapa final'!#REF!="Alta",'Mapa final'!#REF!="Mayor"),CONCATENATE("R4C",'Mapa final'!#REF!),"")</f>
        <v>#REF!</v>
      </c>
      <c r="AG19" s="40" t="e">
        <f>IF(AND('Mapa final'!#REF!="Alta",'Mapa final'!#REF!="Mayor"),CONCATENATE("R4C",'Mapa final'!#REF!),"")</f>
        <v>#REF!</v>
      </c>
      <c r="AH19" s="41" t="str">
        <f>IF(AND('Mapa final'!$AJ$12="Alta",'Mapa final'!$AL$12="Catastrófico"),CONCATENATE("R4C",'Mapa final'!$V$12),"")</f>
        <v/>
      </c>
      <c r="AI19" s="42" t="str">
        <f>IF(AND('Mapa final'!$AJ$13="Alta",'Mapa final'!$AL$13="Catastrófico"),CONCATENATE("R4C",'Mapa final'!$V$13),"")</f>
        <v/>
      </c>
      <c r="AJ19" s="42" t="str">
        <f>IF(AND('Mapa final'!$AJ$14="Alta",'Mapa final'!$AL$14="Catastrófico"),CONCATENATE("R4C",'Mapa final'!$V$14),"")</f>
        <v/>
      </c>
      <c r="AK19" s="42" t="e">
        <f>IF(AND('Mapa final'!#REF!="Alta",'Mapa final'!#REF!="Catastrófico"),CONCATENATE("R4C",'Mapa final'!#REF!),"")</f>
        <v>#REF!</v>
      </c>
      <c r="AL19" s="42" t="e">
        <f>IF(AND('Mapa final'!#REF!="Alta",'Mapa final'!#REF!="Catastrófico"),CONCATENATE("R4C",'Mapa final'!#REF!),"")</f>
        <v>#REF!</v>
      </c>
      <c r="AM19" s="43" t="e">
        <f>IF(AND('Mapa final'!#REF!="Alta",'Mapa final'!#REF!="Catastrófico"),CONCATENATE("R4C",'Mapa final'!#REF!),"")</f>
        <v>#REF!</v>
      </c>
      <c r="AN19" s="70"/>
      <c r="AO19" s="399"/>
      <c r="AP19" s="400"/>
      <c r="AQ19" s="400"/>
      <c r="AR19" s="400"/>
      <c r="AS19" s="400"/>
      <c r="AT19" s="401"/>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row>
    <row r="20" spans="1:76" ht="15" customHeight="1" x14ac:dyDescent="0.25">
      <c r="A20" s="70"/>
      <c r="B20" s="308"/>
      <c r="C20" s="308"/>
      <c r="D20" s="309"/>
      <c r="E20" s="409"/>
      <c r="F20" s="410"/>
      <c r="G20" s="410"/>
      <c r="H20" s="410"/>
      <c r="I20" s="408"/>
      <c r="J20" s="54" t="str">
        <f>IF(AND('Mapa final'!$AJ$15="Alta",'Mapa final'!$AL$15="Leve"),CONCATENATE("R5C",'Mapa final'!$V$15),"")</f>
        <v/>
      </c>
      <c r="K20" s="55" t="str">
        <f>IF(AND('Mapa final'!$AJ$16="Alta",'Mapa final'!$AL$16="Leve"),CONCATENATE("R5C",'Mapa final'!$V$16),"")</f>
        <v/>
      </c>
      <c r="L20" s="55" t="e">
        <f>IF(AND('Mapa final'!#REF!="Alta",'Mapa final'!#REF!="Leve"),CONCATENATE("R5C",'Mapa final'!#REF!),"")</f>
        <v>#REF!</v>
      </c>
      <c r="M20" s="55" t="e">
        <f>IF(AND('Mapa final'!#REF!="Alta",'Mapa final'!#REF!="Leve"),CONCATENATE("R5C",'Mapa final'!#REF!),"")</f>
        <v>#REF!</v>
      </c>
      <c r="N20" s="55" t="e">
        <f>IF(AND('Mapa final'!#REF!="Alta",'Mapa final'!#REF!="Leve"),CONCATENATE("R5C",'Mapa final'!#REF!),"")</f>
        <v>#REF!</v>
      </c>
      <c r="O20" s="56" t="e">
        <f>IF(AND('Mapa final'!#REF!="Alta",'Mapa final'!#REF!="Leve"),CONCATENATE("R5C",'Mapa final'!#REF!),"")</f>
        <v>#REF!</v>
      </c>
      <c r="P20" s="54" t="str">
        <f>IF(AND('Mapa final'!$AJ$15="Alta",'Mapa final'!$AL$15="Menor"),CONCATENATE("R5C",'Mapa final'!$V$15),"")</f>
        <v/>
      </c>
      <c r="Q20" s="55" t="str">
        <f>IF(AND('Mapa final'!$AJ$16="Alta",'Mapa final'!$AL$16="Menor"),CONCATENATE("R5C",'Mapa final'!$V$16),"")</f>
        <v/>
      </c>
      <c r="R20" s="55" t="e">
        <f>IF(AND('Mapa final'!#REF!="Alta",'Mapa final'!#REF!="Menor"),CONCATENATE("R5C",'Mapa final'!#REF!),"")</f>
        <v>#REF!</v>
      </c>
      <c r="S20" s="55" t="e">
        <f>IF(AND('Mapa final'!#REF!="Alta",'Mapa final'!#REF!="Menor"),CONCATENATE("R5C",'Mapa final'!#REF!),"")</f>
        <v>#REF!</v>
      </c>
      <c r="T20" s="55" t="e">
        <f>IF(AND('Mapa final'!#REF!="Alta",'Mapa final'!#REF!="Menor"),CONCATENATE("R5C",'Mapa final'!#REF!),"")</f>
        <v>#REF!</v>
      </c>
      <c r="U20" s="56" t="e">
        <f>IF(AND('Mapa final'!#REF!="Alta",'Mapa final'!#REF!="Menor"),CONCATENATE("R5C",'Mapa final'!#REF!),"")</f>
        <v>#REF!</v>
      </c>
      <c r="V20" s="38" t="str">
        <f>IF(AND('Mapa final'!$AJ$15="Alta",'Mapa final'!$AL$15="Moderado"),CONCATENATE("R5C",'Mapa final'!$V$15),"")</f>
        <v/>
      </c>
      <c r="W20" s="39" t="str">
        <f>IF(AND('Mapa final'!$AJ$16="Alta",'Mapa final'!$AL$16="Moderado"),CONCATENATE("R5C",'Mapa final'!$V$16),"")</f>
        <v/>
      </c>
      <c r="X20" s="44" t="e">
        <f>IF(AND('Mapa final'!#REF!="Alta",'Mapa final'!#REF!="Moderado"),CONCATENATE("R5C",'Mapa final'!#REF!),"")</f>
        <v>#REF!</v>
      </c>
      <c r="Y20" s="44" t="e">
        <f>IF(AND('Mapa final'!#REF!="Alta",'Mapa final'!#REF!="Moderado"),CONCATENATE("R5C",'Mapa final'!#REF!),"")</f>
        <v>#REF!</v>
      </c>
      <c r="Z20" s="44" t="e">
        <f>IF(AND('Mapa final'!#REF!="Alta",'Mapa final'!#REF!="Moderado"),CONCATENATE("R5C",'Mapa final'!#REF!),"")</f>
        <v>#REF!</v>
      </c>
      <c r="AA20" s="40" t="e">
        <f>IF(AND('Mapa final'!#REF!="Alta",'Mapa final'!#REF!="Moderado"),CONCATENATE("R5C",'Mapa final'!#REF!),"")</f>
        <v>#REF!</v>
      </c>
      <c r="AB20" s="38" t="str">
        <f>IF(AND('Mapa final'!$AJ$15="Alta",'Mapa final'!$AL$15="Mayor"),CONCATENATE("R5C",'Mapa final'!$V$15),"")</f>
        <v/>
      </c>
      <c r="AC20" s="39" t="str">
        <f>IF(AND('Mapa final'!$AJ$16="Alta",'Mapa final'!$AL$16="Mayor"),CONCATENATE("R5C",'Mapa final'!$V$16),"")</f>
        <v/>
      </c>
      <c r="AD20" s="44" t="e">
        <f>IF(AND('Mapa final'!#REF!="Alta",'Mapa final'!#REF!="Mayor"),CONCATENATE("R5C",'Mapa final'!#REF!),"")</f>
        <v>#REF!</v>
      </c>
      <c r="AE20" s="44" t="e">
        <f>IF(AND('Mapa final'!#REF!="Alta",'Mapa final'!#REF!="Mayor"),CONCATENATE("R5C",'Mapa final'!#REF!),"")</f>
        <v>#REF!</v>
      </c>
      <c r="AF20" s="44" t="e">
        <f>IF(AND('Mapa final'!#REF!="Alta",'Mapa final'!#REF!="Mayor"),CONCATENATE("R5C",'Mapa final'!#REF!),"")</f>
        <v>#REF!</v>
      </c>
      <c r="AG20" s="40" t="e">
        <f>IF(AND('Mapa final'!#REF!="Alta",'Mapa final'!#REF!="Mayor"),CONCATENATE("R5C",'Mapa final'!#REF!),"")</f>
        <v>#REF!</v>
      </c>
      <c r="AH20" s="41" t="str">
        <f>IF(AND('Mapa final'!$AJ$15="Alta",'Mapa final'!$AL$15="Catastrófico"),CONCATENATE("R5C",'Mapa final'!$V$15),"")</f>
        <v/>
      </c>
      <c r="AI20" s="42" t="str">
        <f>IF(AND('Mapa final'!$AJ$16="Alta",'Mapa final'!$AL$16="Catastrófico"),CONCATENATE("R5C",'Mapa final'!$V$16),"")</f>
        <v/>
      </c>
      <c r="AJ20" s="42" t="e">
        <f>IF(AND('Mapa final'!#REF!="Alta",'Mapa final'!#REF!="Catastrófico"),CONCATENATE("R5C",'Mapa final'!#REF!),"")</f>
        <v>#REF!</v>
      </c>
      <c r="AK20" s="42" t="e">
        <f>IF(AND('Mapa final'!#REF!="Alta",'Mapa final'!#REF!="Catastrófico"),CONCATENATE("R5C",'Mapa final'!#REF!),"")</f>
        <v>#REF!</v>
      </c>
      <c r="AL20" s="42" t="e">
        <f>IF(AND('Mapa final'!#REF!="Alta",'Mapa final'!#REF!="Catastrófico"),CONCATENATE("R5C",'Mapa final'!#REF!),"")</f>
        <v>#REF!</v>
      </c>
      <c r="AM20" s="43" t="e">
        <f>IF(AND('Mapa final'!#REF!="Alta",'Mapa final'!#REF!="Catastrófico"),CONCATENATE("R5C",'Mapa final'!#REF!),"")</f>
        <v>#REF!</v>
      </c>
      <c r="AN20" s="70"/>
      <c r="AO20" s="399"/>
      <c r="AP20" s="400"/>
      <c r="AQ20" s="400"/>
      <c r="AR20" s="400"/>
      <c r="AS20" s="400"/>
      <c r="AT20" s="401"/>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row>
    <row r="21" spans="1:76" ht="15" customHeight="1" x14ac:dyDescent="0.25">
      <c r="A21" s="70"/>
      <c r="B21" s="308"/>
      <c r="C21" s="308"/>
      <c r="D21" s="309"/>
      <c r="E21" s="409"/>
      <c r="F21" s="410"/>
      <c r="G21" s="410"/>
      <c r="H21" s="410"/>
      <c r="I21" s="408"/>
      <c r="J21" s="54" t="str">
        <f>IF(AND('Mapa final'!$AJ$17="Alta",'Mapa final'!$AL$17="Leve"),CONCATENATE("R6C",'Mapa final'!$V$17),"")</f>
        <v/>
      </c>
      <c r="K21" s="55" t="str">
        <f>IF(AND('Mapa final'!$AJ$18="Alta",'Mapa final'!$AL$18="Leve"),CONCATENATE("R6C",'Mapa final'!$V$18),"")</f>
        <v/>
      </c>
      <c r="L21" s="55" t="e">
        <f>IF(AND('Mapa final'!#REF!="Alta",'Mapa final'!#REF!="Leve"),CONCATENATE("R6C",'Mapa final'!#REF!),"")</f>
        <v>#REF!</v>
      </c>
      <c r="M21" s="55" t="str">
        <f>IF(AND('Mapa final'!$AJ$19="Alta",'Mapa final'!$AL$19="Leve"),CONCATENATE("R6C",'Mapa final'!$V$19),"")</f>
        <v/>
      </c>
      <c r="N21" s="55" t="e">
        <f>IF(AND('Mapa final'!#REF!="Alta",'Mapa final'!#REF!="Leve"),CONCATENATE("R6C",'Mapa final'!#REF!),"")</f>
        <v>#REF!</v>
      </c>
      <c r="O21" s="56" t="e">
        <f>IF(AND('Mapa final'!#REF!="Alta",'Mapa final'!#REF!="Leve"),CONCATENATE("R6C",'Mapa final'!#REF!),"")</f>
        <v>#REF!</v>
      </c>
      <c r="P21" s="54" t="str">
        <f>IF(AND('Mapa final'!$AJ$17="Alta",'Mapa final'!$AL$17="Menor"),CONCATENATE("R6C",'Mapa final'!$V$17),"")</f>
        <v/>
      </c>
      <c r="Q21" s="55" t="str">
        <f>IF(AND('Mapa final'!$AJ$18="Alta",'Mapa final'!$AL$18="Menor"),CONCATENATE("R6C",'Mapa final'!$V$18),"")</f>
        <v/>
      </c>
      <c r="R21" s="55" t="e">
        <f>IF(AND('Mapa final'!#REF!="Alta",'Mapa final'!#REF!="Menor"),CONCATENATE("R6C",'Mapa final'!#REF!),"")</f>
        <v>#REF!</v>
      </c>
      <c r="S21" s="55" t="str">
        <f>IF(AND('Mapa final'!$AJ$19="Alta",'Mapa final'!$AL$19="Menor"),CONCATENATE("R6C",'Mapa final'!$V$19),"")</f>
        <v/>
      </c>
      <c r="T21" s="55" t="e">
        <f>IF(AND('Mapa final'!#REF!="Alta",'Mapa final'!#REF!="Menor"),CONCATENATE("R6C",'Mapa final'!#REF!),"")</f>
        <v>#REF!</v>
      </c>
      <c r="U21" s="56" t="e">
        <f>IF(AND('Mapa final'!#REF!="Alta",'Mapa final'!#REF!="Menor"),CONCATENATE("R6C",'Mapa final'!#REF!),"")</f>
        <v>#REF!</v>
      </c>
      <c r="V21" s="38" t="str">
        <f>IF(AND('Mapa final'!$AJ$17="Alta",'Mapa final'!$AL$17="Moderado"),CONCATENATE("R6C",'Mapa final'!$V$17),"")</f>
        <v/>
      </c>
      <c r="W21" s="39" t="str">
        <f>IF(AND('Mapa final'!$AJ$18="Alta",'Mapa final'!$AL$18="Moderado"),CONCATENATE("R6C",'Mapa final'!$V$18),"")</f>
        <v/>
      </c>
      <c r="X21" s="44" t="e">
        <f>IF(AND('Mapa final'!#REF!="Alta",'Mapa final'!#REF!="Moderado"),CONCATENATE("R6C",'Mapa final'!#REF!),"")</f>
        <v>#REF!</v>
      </c>
      <c r="Y21" s="44" t="str">
        <f>IF(AND('Mapa final'!$AJ$19="Alta",'Mapa final'!$AL$19="Moderado"),CONCATENATE("R6C",'Mapa final'!$V$19),"")</f>
        <v/>
      </c>
      <c r="Z21" s="44" t="e">
        <f>IF(AND('Mapa final'!#REF!="Alta",'Mapa final'!#REF!="Moderado"),CONCATENATE("R6C",'Mapa final'!#REF!),"")</f>
        <v>#REF!</v>
      </c>
      <c r="AA21" s="40" t="e">
        <f>IF(AND('Mapa final'!#REF!="Alta",'Mapa final'!#REF!="Moderado"),CONCATENATE("R6C",'Mapa final'!#REF!),"")</f>
        <v>#REF!</v>
      </c>
      <c r="AB21" s="38" t="str">
        <f>IF(AND('Mapa final'!$AJ$17="Alta",'Mapa final'!$AL$17="Mayor"),CONCATENATE("R6C",'Mapa final'!$V$17),"")</f>
        <v/>
      </c>
      <c r="AC21" s="39" t="str">
        <f>IF(AND('Mapa final'!$AJ$18="Alta",'Mapa final'!$AL$18="Mayor"),CONCATENATE("R6C",'Mapa final'!$V$18),"")</f>
        <v/>
      </c>
      <c r="AD21" s="44" t="e">
        <f>IF(AND('Mapa final'!#REF!="Alta",'Mapa final'!#REF!="Mayor"),CONCATENATE("R6C",'Mapa final'!#REF!),"")</f>
        <v>#REF!</v>
      </c>
      <c r="AE21" s="44" t="str">
        <f>IF(AND('Mapa final'!$AJ$19="Alta",'Mapa final'!$AL$19="Mayor"),CONCATENATE("R6C",'Mapa final'!$V$19),"")</f>
        <v/>
      </c>
      <c r="AF21" s="44" t="e">
        <f>IF(AND('Mapa final'!#REF!="Alta",'Mapa final'!#REF!="Mayor"),CONCATENATE("R6C",'Mapa final'!#REF!),"")</f>
        <v>#REF!</v>
      </c>
      <c r="AG21" s="40" t="e">
        <f>IF(AND('Mapa final'!#REF!="Alta",'Mapa final'!#REF!="Mayor"),CONCATENATE("R6C",'Mapa final'!#REF!),"")</f>
        <v>#REF!</v>
      </c>
      <c r="AH21" s="41" t="str">
        <f>IF(AND('Mapa final'!$AJ$17="Alta",'Mapa final'!$AL$17="Catastrófico"),CONCATENATE("R6C",'Mapa final'!$V$17),"")</f>
        <v/>
      </c>
      <c r="AI21" s="42" t="str">
        <f>IF(AND('Mapa final'!$AJ$18="Alta",'Mapa final'!$AL$18="Catastrófico"),CONCATENATE("R6C",'Mapa final'!$V$18),"")</f>
        <v/>
      </c>
      <c r="AJ21" s="42" t="e">
        <f>IF(AND('Mapa final'!#REF!="Alta",'Mapa final'!#REF!="Catastrófico"),CONCATENATE("R6C",'Mapa final'!#REF!),"")</f>
        <v>#REF!</v>
      </c>
      <c r="AK21" s="42" t="str">
        <f>IF(AND('Mapa final'!$AJ$19="Alta",'Mapa final'!$AL$19="Catastrófico"),CONCATENATE("R6C",'Mapa final'!$V$19),"")</f>
        <v/>
      </c>
      <c r="AL21" s="42" t="e">
        <f>IF(AND('Mapa final'!#REF!="Alta",'Mapa final'!#REF!="Catastrófico"),CONCATENATE("R6C",'Mapa final'!#REF!),"")</f>
        <v>#REF!</v>
      </c>
      <c r="AM21" s="43" t="e">
        <f>IF(AND('Mapa final'!#REF!="Alta",'Mapa final'!#REF!="Catastrófico"),CONCATENATE("R6C",'Mapa final'!#REF!),"")</f>
        <v>#REF!</v>
      </c>
      <c r="AN21" s="70"/>
      <c r="AO21" s="399"/>
      <c r="AP21" s="400"/>
      <c r="AQ21" s="400"/>
      <c r="AR21" s="400"/>
      <c r="AS21" s="400"/>
      <c r="AT21" s="401"/>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row>
    <row r="22" spans="1:76" ht="15" customHeight="1" x14ac:dyDescent="0.25">
      <c r="A22" s="70"/>
      <c r="B22" s="308"/>
      <c r="C22" s="308"/>
      <c r="D22" s="309"/>
      <c r="E22" s="409"/>
      <c r="F22" s="410"/>
      <c r="G22" s="410"/>
      <c r="H22" s="410"/>
      <c r="I22" s="408"/>
      <c r="J22" s="54" t="str">
        <f>IF(AND('Mapa final'!$AJ$20="Alta",'Mapa final'!$AL$20="Leve"),CONCATENATE("R7C",'Mapa final'!$V$20),"")</f>
        <v/>
      </c>
      <c r="K22" s="55" t="str">
        <f>IF(AND('Mapa final'!$AJ$21="Alta",'Mapa final'!$AL$21="Leve"),CONCATENATE("R7C",'Mapa final'!$V$21),"")</f>
        <v/>
      </c>
      <c r="L22" s="55" t="e">
        <f>IF(AND('Mapa final'!#REF!="Alta",'Mapa final'!#REF!="Leve"),CONCATENATE("R7C",'Mapa final'!#REF!),"")</f>
        <v>#REF!</v>
      </c>
      <c r="M22" s="55" t="e">
        <f>IF(AND('Mapa final'!#REF!="Alta",'Mapa final'!#REF!="Leve"),CONCATENATE("R7C",'Mapa final'!#REF!),"")</f>
        <v>#REF!</v>
      </c>
      <c r="N22" s="55" t="e">
        <f>IF(AND('Mapa final'!#REF!="Alta",'Mapa final'!#REF!="Leve"),CONCATENATE("R7C",'Mapa final'!#REF!),"")</f>
        <v>#REF!</v>
      </c>
      <c r="O22" s="56" t="e">
        <f>IF(AND('Mapa final'!#REF!="Alta",'Mapa final'!#REF!="Leve"),CONCATENATE("R7C",'Mapa final'!#REF!),"")</f>
        <v>#REF!</v>
      </c>
      <c r="P22" s="54" t="str">
        <f>IF(AND('Mapa final'!$AJ$20="Alta",'Mapa final'!$AL$20="Menor"),CONCATENATE("R7C",'Mapa final'!$V$20),"")</f>
        <v/>
      </c>
      <c r="Q22" s="55" t="str">
        <f>IF(AND('Mapa final'!$AJ$21="Alta",'Mapa final'!$AL$21="Menor"),CONCATENATE("R7C",'Mapa final'!$V$21),"")</f>
        <v/>
      </c>
      <c r="R22" s="55" t="e">
        <f>IF(AND('Mapa final'!#REF!="Alta",'Mapa final'!#REF!="Menor"),CONCATENATE("R7C",'Mapa final'!#REF!),"")</f>
        <v>#REF!</v>
      </c>
      <c r="S22" s="55" t="e">
        <f>IF(AND('Mapa final'!#REF!="Alta",'Mapa final'!#REF!="Menor"),CONCATENATE("R7C",'Mapa final'!#REF!),"")</f>
        <v>#REF!</v>
      </c>
      <c r="T22" s="55" t="e">
        <f>IF(AND('Mapa final'!#REF!="Alta",'Mapa final'!#REF!="Menor"),CONCATENATE("R7C",'Mapa final'!#REF!),"")</f>
        <v>#REF!</v>
      </c>
      <c r="U22" s="56" t="e">
        <f>IF(AND('Mapa final'!#REF!="Alta",'Mapa final'!#REF!="Menor"),CONCATENATE("R7C",'Mapa final'!#REF!),"")</f>
        <v>#REF!</v>
      </c>
      <c r="V22" s="38" t="str">
        <f>IF(AND('Mapa final'!$AJ$20="Alta",'Mapa final'!$AL$20="Moderado"),CONCATENATE("R7C",'Mapa final'!$V$20),"")</f>
        <v/>
      </c>
      <c r="W22" s="39" t="str">
        <f>IF(AND('Mapa final'!$AJ$21="Alta",'Mapa final'!$AL$21="Moderado"),CONCATENATE("R7C",'Mapa final'!$V$21),"")</f>
        <v/>
      </c>
      <c r="X22" s="44" t="e">
        <f>IF(AND('Mapa final'!#REF!="Alta",'Mapa final'!#REF!="Moderado"),CONCATENATE("R7C",'Mapa final'!#REF!),"")</f>
        <v>#REF!</v>
      </c>
      <c r="Y22" s="44" t="e">
        <f>IF(AND('Mapa final'!#REF!="Alta",'Mapa final'!#REF!="Moderado"),CONCATENATE("R7C",'Mapa final'!#REF!),"")</f>
        <v>#REF!</v>
      </c>
      <c r="Z22" s="44" t="e">
        <f>IF(AND('Mapa final'!#REF!="Alta",'Mapa final'!#REF!="Moderado"),CONCATENATE("R7C",'Mapa final'!#REF!),"")</f>
        <v>#REF!</v>
      </c>
      <c r="AA22" s="40" t="e">
        <f>IF(AND('Mapa final'!#REF!="Alta",'Mapa final'!#REF!="Moderado"),CONCATENATE("R7C",'Mapa final'!#REF!),"")</f>
        <v>#REF!</v>
      </c>
      <c r="AB22" s="38" t="str">
        <f>IF(AND('Mapa final'!$AJ$20="Alta",'Mapa final'!$AL$20="Mayor"),CONCATENATE("R7C",'Mapa final'!$V$20),"")</f>
        <v/>
      </c>
      <c r="AC22" s="39" t="str">
        <f>IF(AND('Mapa final'!$AJ$21="Alta",'Mapa final'!$AL$21="Mayor"),CONCATENATE("R7C",'Mapa final'!$V$21),"")</f>
        <v/>
      </c>
      <c r="AD22" s="44" t="e">
        <f>IF(AND('Mapa final'!#REF!="Alta",'Mapa final'!#REF!="Mayor"),CONCATENATE("R7C",'Mapa final'!#REF!),"")</f>
        <v>#REF!</v>
      </c>
      <c r="AE22" s="44" t="e">
        <f>IF(AND('Mapa final'!#REF!="Alta",'Mapa final'!#REF!="Mayor"),CONCATENATE("R7C",'Mapa final'!#REF!),"")</f>
        <v>#REF!</v>
      </c>
      <c r="AF22" s="44" t="e">
        <f>IF(AND('Mapa final'!#REF!="Alta",'Mapa final'!#REF!="Mayor"),CONCATENATE("R7C",'Mapa final'!#REF!),"")</f>
        <v>#REF!</v>
      </c>
      <c r="AG22" s="40" t="e">
        <f>IF(AND('Mapa final'!#REF!="Alta",'Mapa final'!#REF!="Mayor"),CONCATENATE("R7C",'Mapa final'!#REF!),"")</f>
        <v>#REF!</v>
      </c>
      <c r="AH22" s="41" t="str">
        <f>IF(AND('Mapa final'!$AJ$20="Alta",'Mapa final'!$AL$20="Catastrófico"),CONCATENATE("R7C",'Mapa final'!$V$20),"")</f>
        <v/>
      </c>
      <c r="AI22" s="42" t="str">
        <f>IF(AND('Mapa final'!$AJ$21="Alta",'Mapa final'!$AL$21="Catastrófico"),CONCATENATE("R7C",'Mapa final'!$V$21),"")</f>
        <v/>
      </c>
      <c r="AJ22" s="42" t="e">
        <f>IF(AND('Mapa final'!#REF!="Alta",'Mapa final'!#REF!="Catastrófico"),CONCATENATE("R7C",'Mapa final'!#REF!),"")</f>
        <v>#REF!</v>
      </c>
      <c r="AK22" s="42" t="e">
        <f>IF(AND('Mapa final'!#REF!="Alta",'Mapa final'!#REF!="Catastrófico"),CONCATENATE("R7C",'Mapa final'!#REF!),"")</f>
        <v>#REF!</v>
      </c>
      <c r="AL22" s="42" t="e">
        <f>IF(AND('Mapa final'!#REF!="Alta",'Mapa final'!#REF!="Catastrófico"),CONCATENATE("R7C",'Mapa final'!#REF!),"")</f>
        <v>#REF!</v>
      </c>
      <c r="AM22" s="43" t="e">
        <f>IF(AND('Mapa final'!#REF!="Alta",'Mapa final'!#REF!="Catastrófico"),CONCATENATE("R7C",'Mapa final'!#REF!),"")</f>
        <v>#REF!</v>
      </c>
      <c r="AN22" s="70"/>
      <c r="AO22" s="399"/>
      <c r="AP22" s="400"/>
      <c r="AQ22" s="400"/>
      <c r="AR22" s="400"/>
      <c r="AS22" s="400"/>
      <c r="AT22" s="401"/>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row>
    <row r="23" spans="1:76" ht="15" customHeight="1" x14ac:dyDescent="0.25">
      <c r="A23" s="70"/>
      <c r="B23" s="308"/>
      <c r="C23" s="308"/>
      <c r="D23" s="309"/>
      <c r="E23" s="409"/>
      <c r="F23" s="410"/>
      <c r="G23" s="410"/>
      <c r="H23" s="410"/>
      <c r="I23" s="408"/>
      <c r="J23" s="54" t="str">
        <f>IF(AND('Mapa final'!$AJ$22="Alta",'Mapa final'!$AL$22="Leve"),CONCATENATE("R8C",'Mapa final'!$V$22),"")</f>
        <v/>
      </c>
      <c r="K23" s="55" t="str">
        <f>IF(AND('Mapa final'!$AJ$23="Alta",'Mapa final'!$AL$23="Leve"),CONCATENATE("R8C",'Mapa final'!$V$23),"")</f>
        <v/>
      </c>
      <c r="L23" s="55" t="str">
        <f>IF(AND('Mapa final'!$AJ$24="Alta",'Mapa final'!$AL$24="Leve"),CONCATENATE("R8C",'Mapa final'!$V$24),"")</f>
        <v/>
      </c>
      <c r="M23" s="55" t="str">
        <f>IF(AND('Mapa final'!$AJ$25="Alta",'Mapa final'!$AL$25="Leve"),CONCATENATE("R8C",'Mapa final'!$V$25),"")</f>
        <v/>
      </c>
      <c r="N23" s="55" t="e">
        <f>IF(AND('Mapa final'!#REF!="Alta",'Mapa final'!#REF!="Leve"),CONCATENATE("R8C",'Mapa final'!#REF!),"")</f>
        <v>#REF!</v>
      </c>
      <c r="O23" s="56" t="e">
        <f>IF(AND('Mapa final'!#REF!="Alta",'Mapa final'!#REF!="Leve"),CONCATENATE("R8C",'Mapa final'!#REF!),"")</f>
        <v>#REF!</v>
      </c>
      <c r="P23" s="54" t="str">
        <f>IF(AND('Mapa final'!$AJ$22="Alta",'Mapa final'!$AL$22="Menor"),CONCATENATE("R8C",'Mapa final'!$V$22),"")</f>
        <v/>
      </c>
      <c r="Q23" s="55" t="str">
        <f>IF(AND('Mapa final'!$AJ$23="Alta",'Mapa final'!$AL$23="Menor"),CONCATENATE("R8C",'Mapa final'!$V$23),"")</f>
        <v/>
      </c>
      <c r="R23" s="55" t="str">
        <f>IF(AND('Mapa final'!$AJ$24="Alta",'Mapa final'!$AL$24="Menor"),CONCATENATE("R8C",'Mapa final'!$V$24),"")</f>
        <v/>
      </c>
      <c r="S23" s="55" t="str">
        <f>IF(AND('Mapa final'!$AJ$25="Alta",'Mapa final'!$AL$25="Menor"),CONCATENATE("R8C",'Mapa final'!$V$25),"")</f>
        <v/>
      </c>
      <c r="T23" s="55" t="e">
        <f>IF(AND('Mapa final'!#REF!="Alta",'Mapa final'!#REF!="Menor"),CONCATENATE("R8C",'Mapa final'!#REF!),"")</f>
        <v>#REF!</v>
      </c>
      <c r="U23" s="56" t="e">
        <f>IF(AND('Mapa final'!#REF!="Alta",'Mapa final'!#REF!="Menor"),CONCATENATE("R8C",'Mapa final'!#REF!),"")</f>
        <v>#REF!</v>
      </c>
      <c r="V23" s="38" t="str">
        <f>IF(AND('Mapa final'!$AJ$22="Alta",'Mapa final'!$AL$22="Moderado"),CONCATENATE("R8C",'Mapa final'!$V$22),"")</f>
        <v/>
      </c>
      <c r="W23" s="39" t="str">
        <f>IF(AND('Mapa final'!$AJ$23="Alta",'Mapa final'!$AL$23="Moderado"),CONCATENATE("R8C",'Mapa final'!$V$23),"")</f>
        <v/>
      </c>
      <c r="X23" s="44" t="str">
        <f>IF(AND('Mapa final'!$AJ$24="Alta",'Mapa final'!$AL$24="Moderado"),CONCATENATE("R8C",'Mapa final'!$V$24),"")</f>
        <v/>
      </c>
      <c r="Y23" s="44" t="str">
        <f>IF(AND('Mapa final'!$AJ$25="Alta",'Mapa final'!$AL$25="Moderado"),CONCATENATE("R8C",'Mapa final'!$V$25),"")</f>
        <v/>
      </c>
      <c r="Z23" s="44" t="e">
        <f>IF(AND('Mapa final'!#REF!="Alta",'Mapa final'!#REF!="Moderado"),CONCATENATE("R8C",'Mapa final'!#REF!),"")</f>
        <v>#REF!</v>
      </c>
      <c r="AA23" s="40" t="e">
        <f>IF(AND('Mapa final'!#REF!="Alta",'Mapa final'!#REF!="Moderado"),CONCATENATE("R8C",'Mapa final'!#REF!),"")</f>
        <v>#REF!</v>
      </c>
      <c r="AB23" s="38" t="str">
        <f>IF(AND('Mapa final'!$AJ$22="Alta",'Mapa final'!$AL$22="Mayor"),CONCATENATE("R8C",'Mapa final'!$V$22),"")</f>
        <v/>
      </c>
      <c r="AC23" s="39" t="str">
        <f>IF(AND('Mapa final'!$AJ$23="Alta",'Mapa final'!$AL$23="Mayor"),CONCATENATE("R8C",'Mapa final'!$V$23),"")</f>
        <v/>
      </c>
      <c r="AD23" s="44" t="str">
        <f>IF(AND('Mapa final'!$AJ$24="Alta",'Mapa final'!$AL$24="Mayor"),CONCATENATE("R8C",'Mapa final'!$V$24),"")</f>
        <v/>
      </c>
      <c r="AE23" s="44" t="str">
        <f>IF(AND('Mapa final'!$AJ$25="Alta",'Mapa final'!$AL$25="Mayor"),CONCATENATE("R8C",'Mapa final'!$V$25),"")</f>
        <v/>
      </c>
      <c r="AF23" s="44" t="e">
        <f>IF(AND('Mapa final'!#REF!="Alta",'Mapa final'!#REF!="Mayor"),CONCATENATE("R8C",'Mapa final'!#REF!),"")</f>
        <v>#REF!</v>
      </c>
      <c r="AG23" s="40" t="e">
        <f>IF(AND('Mapa final'!#REF!="Alta",'Mapa final'!#REF!="Mayor"),CONCATENATE("R8C",'Mapa final'!#REF!),"")</f>
        <v>#REF!</v>
      </c>
      <c r="AH23" s="41" t="str">
        <f>IF(AND('Mapa final'!$AJ$22="Alta",'Mapa final'!$AL$22="Catastrófico"),CONCATENATE("R8C",'Mapa final'!$V$22),"")</f>
        <v/>
      </c>
      <c r="AI23" s="42" t="str">
        <f>IF(AND('Mapa final'!$AJ$23="Alta",'Mapa final'!$AL$23="Catastrófico"),CONCATENATE("R8C",'Mapa final'!$V$23),"")</f>
        <v/>
      </c>
      <c r="AJ23" s="42" t="str">
        <f>IF(AND('Mapa final'!$AJ$24="Alta",'Mapa final'!$AL$24="Catastrófico"),CONCATENATE("R8C",'Mapa final'!$V$24),"")</f>
        <v/>
      </c>
      <c r="AK23" s="42" t="str">
        <f>IF(AND('Mapa final'!$AJ$25="Alta",'Mapa final'!$AL$25="Catastrófico"),CONCATENATE("R8C",'Mapa final'!$V$25),"")</f>
        <v/>
      </c>
      <c r="AL23" s="42" t="e">
        <f>IF(AND('Mapa final'!#REF!="Alta",'Mapa final'!#REF!="Catastrófico"),CONCATENATE("R8C",'Mapa final'!#REF!),"")</f>
        <v>#REF!</v>
      </c>
      <c r="AM23" s="43" t="e">
        <f>IF(AND('Mapa final'!#REF!="Alta",'Mapa final'!#REF!="Catastrófico"),CONCATENATE("R8C",'Mapa final'!#REF!),"")</f>
        <v>#REF!</v>
      </c>
      <c r="AN23" s="70"/>
      <c r="AO23" s="399"/>
      <c r="AP23" s="400"/>
      <c r="AQ23" s="400"/>
      <c r="AR23" s="400"/>
      <c r="AS23" s="400"/>
      <c r="AT23" s="401"/>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row>
    <row r="24" spans="1:76" ht="15" customHeight="1" x14ac:dyDescent="0.25">
      <c r="A24" s="70"/>
      <c r="B24" s="308"/>
      <c r="C24" s="308"/>
      <c r="D24" s="309"/>
      <c r="E24" s="409"/>
      <c r="F24" s="410"/>
      <c r="G24" s="410"/>
      <c r="H24" s="410"/>
      <c r="I24" s="408"/>
      <c r="J24" s="54" t="str">
        <f>IF(AND('Mapa final'!$AJ$26="Alta",'Mapa final'!$AL$26="Leve"),CONCATENATE("R9C",'Mapa final'!$V$26),"")</f>
        <v/>
      </c>
      <c r="K24" s="55" t="str">
        <f>IF(AND('Mapa final'!$AJ$27="Alta",'Mapa final'!$AL$27="Leve"),CONCATENATE("R9C",'Mapa final'!$V$27),"")</f>
        <v/>
      </c>
      <c r="L24" s="55" t="str">
        <f>IF(AND('Mapa final'!$AJ$28="Alta",'Mapa final'!$AL$28="Leve"),CONCATENATE("R9C",'Mapa final'!$V$28),"")</f>
        <v/>
      </c>
      <c r="M24" s="55" t="str">
        <f>IF(AND('Mapa final'!$AJ$29="Alta",'Mapa final'!$AL$29="Leve"),CONCATENATE("R9C",'Mapa final'!$V$29),"")</f>
        <v/>
      </c>
      <c r="N24" s="55" t="e">
        <f>IF(AND('Mapa final'!#REF!="Alta",'Mapa final'!#REF!="Leve"),CONCATENATE("R9C",'Mapa final'!#REF!),"")</f>
        <v>#REF!</v>
      </c>
      <c r="O24" s="56" t="e">
        <f>IF(AND('Mapa final'!#REF!="Alta",'Mapa final'!#REF!="Leve"),CONCATENATE("R9C",'Mapa final'!#REF!),"")</f>
        <v>#REF!</v>
      </c>
      <c r="P24" s="54" t="str">
        <f>IF(AND('Mapa final'!$AJ$26="Alta",'Mapa final'!$AL$26="Menor"),CONCATENATE("R9C",'Mapa final'!$V$26),"")</f>
        <v/>
      </c>
      <c r="Q24" s="55" t="str">
        <f>IF(AND('Mapa final'!$AJ$27="Alta",'Mapa final'!$AL$27="Menor"),CONCATENATE("R9C",'Mapa final'!$V$27),"")</f>
        <v/>
      </c>
      <c r="R24" s="55" t="str">
        <f>IF(AND('Mapa final'!$AJ$28="Alta",'Mapa final'!$AL$28="Menor"),CONCATENATE("R9C",'Mapa final'!$V$28),"")</f>
        <v/>
      </c>
      <c r="S24" s="55" t="str">
        <f>IF(AND('Mapa final'!$AJ$29="Alta",'Mapa final'!$AL$29="Menor"),CONCATENATE("R9C",'Mapa final'!$V$29),"")</f>
        <v/>
      </c>
      <c r="T24" s="55" t="e">
        <f>IF(AND('Mapa final'!#REF!="Alta",'Mapa final'!#REF!="Menor"),CONCATENATE("R9C",'Mapa final'!#REF!),"")</f>
        <v>#REF!</v>
      </c>
      <c r="U24" s="56" t="e">
        <f>IF(AND('Mapa final'!#REF!="Alta",'Mapa final'!#REF!="Menor"),CONCATENATE("R9C",'Mapa final'!#REF!),"")</f>
        <v>#REF!</v>
      </c>
      <c r="V24" s="38" t="str">
        <f>IF(AND('Mapa final'!$AJ$26="Alta",'Mapa final'!$AL$26="Moderado"),CONCATENATE("R9C",'Mapa final'!$V$26),"")</f>
        <v/>
      </c>
      <c r="W24" s="39" t="str">
        <f>IF(AND('Mapa final'!$AJ$27="Alta",'Mapa final'!$AL$27="Moderado"),CONCATENATE("R9C",'Mapa final'!$V$27),"")</f>
        <v/>
      </c>
      <c r="X24" s="44" t="str">
        <f>IF(AND('Mapa final'!$AJ$28="Alta",'Mapa final'!$AL$28="Moderado"),CONCATENATE("R9C",'Mapa final'!$V$28),"")</f>
        <v/>
      </c>
      <c r="Y24" s="44" t="str">
        <f>IF(AND('Mapa final'!$AJ$29="Alta",'Mapa final'!$AL$29="Moderado"),CONCATENATE("R9C",'Mapa final'!$V$29),"")</f>
        <v/>
      </c>
      <c r="Z24" s="44" t="e">
        <f>IF(AND('Mapa final'!#REF!="Alta",'Mapa final'!#REF!="Moderado"),CONCATENATE("R9C",'Mapa final'!#REF!),"")</f>
        <v>#REF!</v>
      </c>
      <c r="AA24" s="40" t="e">
        <f>IF(AND('Mapa final'!#REF!="Alta",'Mapa final'!#REF!="Moderado"),CONCATENATE("R9C",'Mapa final'!#REF!),"")</f>
        <v>#REF!</v>
      </c>
      <c r="AB24" s="38" t="str">
        <f>IF(AND('Mapa final'!$AJ$26="Alta",'Mapa final'!$AL$26="Mayor"),CONCATENATE("R9C",'Mapa final'!$V$26),"")</f>
        <v/>
      </c>
      <c r="AC24" s="39" t="str">
        <f>IF(AND('Mapa final'!$AJ$27="Alta",'Mapa final'!$AL$27="Mayor"),CONCATENATE("R9C",'Mapa final'!$V$27),"")</f>
        <v/>
      </c>
      <c r="AD24" s="44" t="str">
        <f>IF(AND('Mapa final'!$AJ$28="Alta",'Mapa final'!$AL$28="Mayor"),CONCATENATE("R9C",'Mapa final'!$V$28),"")</f>
        <v/>
      </c>
      <c r="AE24" s="44" t="str">
        <f>IF(AND('Mapa final'!$AJ$29="Alta",'Mapa final'!$AL$29="Mayor"),CONCATENATE("R9C",'Mapa final'!$V$29),"")</f>
        <v/>
      </c>
      <c r="AF24" s="44" t="e">
        <f>IF(AND('Mapa final'!#REF!="Alta",'Mapa final'!#REF!="Mayor"),CONCATENATE("R9C",'Mapa final'!#REF!),"")</f>
        <v>#REF!</v>
      </c>
      <c r="AG24" s="40" t="e">
        <f>IF(AND('Mapa final'!#REF!="Alta",'Mapa final'!#REF!="Mayor"),CONCATENATE("R9C",'Mapa final'!#REF!),"")</f>
        <v>#REF!</v>
      </c>
      <c r="AH24" s="41" t="str">
        <f>IF(AND('Mapa final'!$AJ$26="Alta",'Mapa final'!$AL$26="Catastrófico"),CONCATENATE("R9C",'Mapa final'!$V$26),"")</f>
        <v/>
      </c>
      <c r="AI24" s="42" t="str">
        <f>IF(AND('Mapa final'!$AJ$27="Alta",'Mapa final'!$AL$27="Catastrófico"),CONCATENATE("R9C",'Mapa final'!$V$27),"")</f>
        <v/>
      </c>
      <c r="AJ24" s="42" t="str">
        <f>IF(AND('Mapa final'!$AJ$28="Alta",'Mapa final'!$AL$28="Catastrófico"),CONCATENATE("R9C",'Mapa final'!$V$28),"")</f>
        <v/>
      </c>
      <c r="AK24" s="42" t="str">
        <f>IF(AND('Mapa final'!$AJ$29="Alta",'Mapa final'!$AL$29="Catastrófico"),CONCATENATE("R9C",'Mapa final'!$V$29),"")</f>
        <v/>
      </c>
      <c r="AL24" s="42" t="e">
        <f>IF(AND('Mapa final'!#REF!="Alta",'Mapa final'!#REF!="Catastrófico"),CONCATENATE("R9C",'Mapa final'!#REF!),"")</f>
        <v>#REF!</v>
      </c>
      <c r="AM24" s="43" t="e">
        <f>IF(AND('Mapa final'!#REF!="Alta",'Mapa final'!#REF!="Catastrófico"),CONCATENATE("R9C",'Mapa final'!#REF!),"")</f>
        <v>#REF!</v>
      </c>
      <c r="AN24" s="70"/>
      <c r="AO24" s="399"/>
      <c r="AP24" s="400"/>
      <c r="AQ24" s="400"/>
      <c r="AR24" s="400"/>
      <c r="AS24" s="400"/>
      <c r="AT24" s="401"/>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row>
    <row r="25" spans="1:76" ht="15.75" customHeight="1" thickBot="1" x14ac:dyDescent="0.3">
      <c r="A25" s="70"/>
      <c r="B25" s="308"/>
      <c r="C25" s="308"/>
      <c r="D25" s="309"/>
      <c r="E25" s="411"/>
      <c r="F25" s="412"/>
      <c r="G25" s="412"/>
      <c r="H25" s="412"/>
      <c r="I25" s="412"/>
      <c r="J25" s="57" t="e">
        <f>IF(AND('Mapa final'!#REF!="Alta",'Mapa final'!#REF!="Leve"),CONCATENATE("R10C",'Mapa final'!#REF!),"")</f>
        <v>#REF!</v>
      </c>
      <c r="K25" s="58" t="e">
        <f>IF(AND('Mapa final'!#REF!="Alta",'Mapa final'!#REF!="Leve"),CONCATENATE("R10C",'Mapa final'!#REF!),"")</f>
        <v>#REF!</v>
      </c>
      <c r="L25" s="58" t="e">
        <f>IF(AND('Mapa final'!#REF!="Alta",'Mapa final'!#REF!="Leve"),CONCATENATE("R10C",'Mapa final'!#REF!),"")</f>
        <v>#REF!</v>
      </c>
      <c r="M25" s="58" t="e">
        <f>IF(AND('Mapa final'!#REF!="Alta",'Mapa final'!#REF!="Leve"),CONCATENATE("R10C",'Mapa final'!#REF!),"")</f>
        <v>#REF!</v>
      </c>
      <c r="N25" s="58" t="e">
        <f>IF(AND('Mapa final'!#REF!="Alta",'Mapa final'!#REF!="Leve"),CONCATENATE("R10C",'Mapa final'!#REF!),"")</f>
        <v>#REF!</v>
      </c>
      <c r="O25" s="59" t="e">
        <f>IF(AND('Mapa final'!#REF!="Alta",'Mapa final'!#REF!="Leve"),CONCATENATE("R10C",'Mapa final'!#REF!),"")</f>
        <v>#REF!</v>
      </c>
      <c r="P25" s="57" t="e">
        <f>IF(AND('Mapa final'!#REF!="Alta",'Mapa final'!#REF!="Menor"),CONCATENATE("R10C",'Mapa final'!#REF!),"")</f>
        <v>#REF!</v>
      </c>
      <c r="Q25" s="58" t="e">
        <f>IF(AND('Mapa final'!#REF!="Alta",'Mapa final'!#REF!="Menor"),CONCATENATE("R10C",'Mapa final'!#REF!),"")</f>
        <v>#REF!</v>
      </c>
      <c r="R25" s="58" t="e">
        <f>IF(AND('Mapa final'!#REF!="Alta",'Mapa final'!#REF!="Menor"),CONCATENATE("R10C",'Mapa final'!#REF!),"")</f>
        <v>#REF!</v>
      </c>
      <c r="S25" s="58" t="e">
        <f>IF(AND('Mapa final'!#REF!="Alta",'Mapa final'!#REF!="Menor"),CONCATENATE("R10C",'Mapa final'!#REF!),"")</f>
        <v>#REF!</v>
      </c>
      <c r="T25" s="58" t="e">
        <f>IF(AND('Mapa final'!#REF!="Alta",'Mapa final'!#REF!="Menor"),CONCATENATE("R10C",'Mapa final'!#REF!),"")</f>
        <v>#REF!</v>
      </c>
      <c r="U25" s="59" t="e">
        <f>IF(AND('Mapa final'!#REF!="Alta",'Mapa final'!#REF!="Menor"),CONCATENATE("R10C",'Mapa final'!#REF!),"")</f>
        <v>#REF!</v>
      </c>
      <c r="V25" s="45" t="e">
        <f>IF(AND('Mapa final'!#REF!="Alta",'Mapa final'!#REF!="Moderado"),CONCATENATE("R10C",'Mapa final'!#REF!),"")</f>
        <v>#REF!</v>
      </c>
      <c r="W25" s="46" t="e">
        <f>IF(AND('Mapa final'!#REF!="Alta",'Mapa final'!#REF!="Moderado"),CONCATENATE("R10C",'Mapa final'!#REF!),"")</f>
        <v>#REF!</v>
      </c>
      <c r="X25" s="46" t="e">
        <f>IF(AND('Mapa final'!#REF!="Alta",'Mapa final'!#REF!="Moderado"),CONCATENATE("R10C",'Mapa final'!#REF!),"")</f>
        <v>#REF!</v>
      </c>
      <c r="Y25" s="46" t="e">
        <f>IF(AND('Mapa final'!#REF!="Alta",'Mapa final'!#REF!="Moderado"),CONCATENATE("R10C",'Mapa final'!#REF!),"")</f>
        <v>#REF!</v>
      </c>
      <c r="Z25" s="46" t="e">
        <f>IF(AND('Mapa final'!#REF!="Alta",'Mapa final'!#REF!="Moderado"),CONCATENATE("R10C",'Mapa final'!#REF!),"")</f>
        <v>#REF!</v>
      </c>
      <c r="AA25" s="47" t="e">
        <f>IF(AND('Mapa final'!#REF!="Alta",'Mapa final'!#REF!="Moderado"),CONCATENATE("R10C",'Mapa final'!#REF!),"")</f>
        <v>#REF!</v>
      </c>
      <c r="AB25" s="45" t="e">
        <f>IF(AND('Mapa final'!#REF!="Alta",'Mapa final'!#REF!="Mayor"),CONCATENATE("R10C",'Mapa final'!#REF!),"")</f>
        <v>#REF!</v>
      </c>
      <c r="AC25" s="46" t="e">
        <f>IF(AND('Mapa final'!#REF!="Alta",'Mapa final'!#REF!="Mayor"),CONCATENATE("R10C",'Mapa final'!#REF!),"")</f>
        <v>#REF!</v>
      </c>
      <c r="AD25" s="46" t="e">
        <f>IF(AND('Mapa final'!#REF!="Alta",'Mapa final'!#REF!="Mayor"),CONCATENATE("R10C",'Mapa final'!#REF!),"")</f>
        <v>#REF!</v>
      </c>
      <c r="AE25" s="46" t="e">
        <f>IF(AND('Mapa final'!#REF!="Alta",'Mapa final'!#REF!="Mayor"),CONCATENATE("R10C",'Mapa final'!#REF!),"")</f>
        <v>#REF!</v>
      </c>
      <c r="AF25" s="46" t="e">
        <f>IF(AND('Mapa final'!#REF!="Alta",'Mapa final'!#REF!="Mayor"),CONCATENATE("R10C",'Mapa final'!#REF!),"")</f>
        <v>#REF!</v>
      </c>
      <c r="AG25" s="47" t="e">
        <f>IF(AND('Mapa final'!#REF!="Alta",'Mapa final'!#REF!="Mayor"),CONCATENATE("R10C",'Mapa final'!#REF!),"")</f>
        <v>#REF!</v>
      </c>
      <c r="AH25" s="48" t="e">
        <f>IF(AND('Mapa final'!#REF!="Alta",'Mapa final'!#REF!="Catastrófico"),CONCATENATE("R10C",'Mapa final'!#REF!),"")</f>
        <v>#REF!</v>
      </c>
      <c r="AI25" s="49" t="e">
        <f>IF(AND('Mapa final'!#REF!="Alta",'Mapa final'!#REF!="Catastrófico"),CONCATENATE("R10C",'Mapa final'!#REF!),"")</f>
        <v>#REF!</v>
      </c>
      <c r="AJ25" s="49" t="e">
        <f>IF(AND('Mapa final'!#REF!="Alta",'Mapa final'!#REF!="Catastrófico"),CONCATENATE("R10C",'Mapa final'!#REF!),"")</f>
        <v>#REF!</v>
      </c>
      <c r="AK25" s="49" t="e">
        <f>IF(AND('Mapa final'!#REF!="Alta",'Mapa final'!#REF!="Catastrófico"),CONCATENATE("R10C",'Mapa final'!#REF!),"")</f>
        <v>#REF!</v>
      </c>
      <c r="AL25" s="49" t="e">
        <f>IF(AND('Mapa final'!#REF!="Alta",'Mapa final'!#REF!="Catastrófico"),CONCATENATE("R10C",'Mapa final'!#REF!),"")</f>
        <v>#REF!</v>
      </c>
      <c r="AM25" s="50" t="e">
        <f>IF(AND('Mapa final'!#REF!="Alta",'Mapa final'!#REF!="Catastrófico"),CONCATENATE("R10C",'Mapa final'!#REF!),"")</f>
        <v>#REF!</v>
      </c>
      <c r="AN25" s="70"/>
      <c r="AO25" s="402"/>
      <c r="AP25" s="403"/>
      <c r="AQ25" s="403"/>
      <c r="AR25" s="403"/>
      <c r="AS25" s="403"/>
      <c r="AT25" s="404"/>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row>
    <row r="26" spans="1:76" ht="15" customHeight="1" x14ac:dyDescent="0.25">
      <c r="A26" s="70"/>
      <c r="B26" s="308"/>
      <c r="C26" s="308"/>
      <c r="D26" s="309"/>
      <c r="E26" s="405" t="s">
        <v>280</v>
      </c>
      <c r="F26" s="406"/>
      <c r="G26" s="406"/>
      <c r="H26" s="406"/>
      <c r="I26" s="424"/>
      <c r="J26" s="51" t="str">
        <f>IF(AND('Mapa final'!$AJ$7="Media",'Mapa final'!$AL$7="Leve"),CONCATENATE("R1C",'Mapa final'!$V$7),"")</f>
        <v/>
      </c>
      <c r="K26" s="52" t="e">
        <f>IF(AND('Mapa final'!#REF!="Media",'Mapa final'!#REF!="Leve"),CONCATENATE("R1C",'Mapa final'!#REF!),"")</f>
        <v>#REF!</v>
      </c>
      <c r="L26" s="52" t="e">
        <f>IF(AND('Mapa final'!#REF!="Media",'Mapa final'!#REF!="Leve"),CONCATENATE("R1C",'Mapa final'!#REF!),"")</f>
        <v>#REF!</v>
      </c>
      <c r="M26" s="52" t="e">
        <f>IF(AND('Mapa final'!#REF!="Media",'Mapa final'!#REF!="Leve"),CONCATENATE("R1C",'Mapa final'!#REF!),"")</f>
        <v>#REF!</v>
      </c>
      <c r="N26" s="52" t="e">
        <f>IF(AND('Mapa final'!#REF!="Media",'Mapa final'!#REF!="Leve"),CONCATENATE("R1C",'Mapa final'!#REF!),"")</f>
        <v>#REF!</v>
      </c>
      <c r="O26" s="53" t="e">
        <f>IF(AND('Mapa final'!#REF!="Media",'Mapa final'!#REF!="Leve"),CONCATENATE("R1C",'Mapa final'!#REF!),"")</f>
        <v>#REF!</v>
      </c>
      <c r="P26" s="51" t="str">
        <f>IF(AND('Mapa final'!$AJ$7="Media",'Mapa final'!$AL$7="Menor"),CONCATENATE("R1C",'Mapa final'!$V$7),"")</f>
        <v/>
      </c>
      <c r="Q26" s="52" t="e">
        <f>IF(AND('Mapa final'!#REF!="Media",'Mapa final'!#REF!="Menor"),CONCATENATE("R1C",'Mapa final'!#REF!),"")</f>
        <v>#REF!</v>
      </c>
      <c r="R26" s="52" t="e">
        <f>IF(AND('Mapa final'!#REF!="Media",'Mapa final'!#REF!="Menor"),CONCATENATE("R1C",'Mapa final'!#REF!),"")</f>
        <v>#REF!</v>
      </c>
      <c r="S26" s="52" t="e">
        <f>IF(AND('Mapa final'!#REF!="Media",'Mapa final'!#REF!="Menor"),CONCATENATE("R1C",'Mapa final'!#REF!),"")</f>
        <v>#REF!</v>
      </c>
      <c r="T26" s="52" t="e">
        <f>IF(AND('Mapa final'!#REF!="Media",'Mapa final'!#REF!="Menor"),CONCATENATE("R1C",'Mapa final'!#REF!),"")</f>
        <v>#REF!</v>
      </c>
      <c r="U26" s="53" t="e">
        <f>IF(AND('Mapa final'!#REF!="Media",'Mapa final'!#REF!="Menor"),CONCATENATE("R1C",'Mapa final'!#REF!),"")</f>
        <v>#REF!</v>
      </c>
      <c r="V26" s="51" t="str">
        <f>IF(AND('Mapa final'!$AJ$7="Media",'Mapa final'!$AL$7="Moderado"),CONCATENATE("R1C",'Mapa final'!$V$7),"")</f>
        <v/>
      </c>
      <c r="W26" s="52" t="e">
        <f>IF(AND('Mapa final'!#REF!="Media",'Mapa final'!#REF!="Moderado"),CONCATENATE("R1C",'Mapa final'!#REF!),"")</f>
        <v>#REF!</v>
      </c>
      <c r="X26" s="52" t="e">
        <f>IF(AND('Mapa final'!#REF!="Media",'Mapa final'!#REF!="Moderado"),CONCATENATE("R1C",'Mapa final'!#REF!),"")</f>
        <v>#REF!</v>
      </c>
      <c r="Y26" s="52" t="e">
        <f>IF(AND('Mapa final'!#REF!="Media",'Mapa final'!#REF!="Moderado"),CONCATENATE("R1C",'Mapa final'!#REF!),"")</f>
        <v>#REF!</v>
      </c>
      <c r="Z26" s="52" t="e">
        <f>IF(AND('Mapa final'!#REF!="Media",'Mapa final'!#REF!="Moderado"),CONCATENATE("R1C",'Mapa final'!#REF!),"")</f>
        <v>#REF!</v>
      </c>
      <c r="AA26" s="53" t="e">
        <f>IF(AND('Mapa final'!#REF!="Media",'Mapa final'!#REF!="Moderado"),CONCATENATE("R1C",'Mapa final'!#REF!),"")</f>
        <v>#REF!</v>
      </c>
      <c r="AB26" s="32" t="str">
        <f>IF(AND('Mapa final'!$AJ$7="Media",'Mapa final'!$AL$7="Mayor"),CONCATENATE("R1C",'Mapa final'!$V$7),"")</f>
        <v/>
      </c>
      <c r="AC26" s="33" t="e">
        <f>IF(AND('Mapa final'!#REF!="Media",'Mapa final'!#REF!="Mayor"),CONCATENATE("R1C",'Mapa final'!#REF!),"")</f>
        <v>#REF!</v>
      </c>
      <c r="AD26" s="33" t="e">
        <f>IF(AND('Mapa final'!#REF!="Media",'Mapa final'!#REF!="Mayor"),CONCATENATE("R1C",'Mapa final'!#REF!),"")</f>
        <v>#REF!</v>
      </c>
      <c r="AE26" s="33" t="e">
        <f>IF(AND('Mapa final'!#REF!="Media",'Mapa final'!#REF!="Mayor"),CONCATENATE("R1C",'Mapa final'!#REF!),"")</f>
        <v>#REF!</v>
      </c>
      <c r="AF26" s="33" t="e">
        <f>IF(AND('Mapa final'!#REF!="Media",'Mapa final'!#REF!="Mayor"),CONCATENATE("R1C",'Mapa final'!#REF!),"")</f>
        <v>#REF!</v>
      </c>
      <c r="AG26" s="34" t="e">
        <f>IF(AND('Mapa final'!#REF!="Media",'Mapa final'!#REF!="Mayor"),CONCATENATE("R1C",'Mapa final'!#REF!),"")</f>
        <v>#REF!</v>
      </c>
      <c r="AH26" s="35" t="str">
        <f>IF(AND('Mapa final'!$AJ$7="Media",'Mapa final'!$AL$7="Catastrófico"),CONCATENATE("R1C",'Mapa final'!$V$7),"")</f>
        <v/>
      </c>
      <c r="AI26" s="36" t="e">
        <f>IF(AND('Mapa final'!#REF!="Media",'Mapa final'!#REF!="Catastrófico"),CONCATENATE("R1C",'Mapa final'!#REF!),"")</f>
        <v>#REF!</v>
      </c>
      <c r="AJ26" s="36" t="e">
        <f>IF(AND('Mapa final'!#REF!="Media",'Mapa final'!#REF!="Catastrófico"),CONCATENATE("R1C",'Mapa final'!#REF!),"")</f>
        <v>#REF!</v>
      </c>
      <c r="AK26" s="36" t="e">
        <f>IF(AND('Mapa final'!#REF!="Media",'Mapa final'!#REF!="Catastrófico"),CONCATENATE("R1C",'Mapa final'!#REF!),"")</f>
        <v>#REF!</v>
      </c>
      <c r="AL26" s="36" t="e">
        <f>IF(AND('Mapa final'!#REF!="Media",'Mapa final'!#REF!="Catastrófico"),CONCATENATE("R1C",'Mapa final'!#REF!),"")</f>
        <v>#REF!</v>
      </c>
      <c r="AM26" s="37" t="e">
        <f>IF(AND('Mapa final'!#REF!="Media",'Mapa final'!#REF!="Catastrófico"),CONCATENATE("R1C",'Mapa final'!#REF!),"")</f>
        <v>#REF!</v>
      </c>
      <c r="AN26" s="70"/>
      <c r="AO26" s="436" t="s">
        <v>252</v>
      </c>
      <c r="AP26" s="437"/>
      <c r="AQ26" s="437"/>
      <c r="AR26" s="437"/>
      <c r="AS26" s="437"/>
      <c r="AT26" s="438"/>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row>
    <row r="27" spans="1:76" ht="15" customHeight="1" x14ac:dyDescent="0.25">
      <c r="A27" s="70"/>
      <c r="B27" s="308"/>
      <c r="C27" s="308"/>
      <c r="D27" s="309"/>
      <c r="E27" s="407"/>
      <c r="F27" s="408"/>
      <c r="G27" s="408"/>
      <c r="H27" s="408"/>
      <c r="I27" s="425"/>
      <c r="J27" s="54" t="str">
        <f>IF(AND('Mapa final'!$AJ$8="Media",'Mapa final'!$AL$8="Leve"),CONCATENATE("R2C",'Mapa final'!$V$8),"")</f>
        <v/>
      </c>
      <c r="K27" s="55" t="str">
        <f>IF(AND('Mapa final'!$AJ$9="Media",'Mapa final'!$AL$9="Leve"),CONCATENATE("R2C",'Mapa final'!$V$9),"")</f>
        <v/>
      </c>
      <c r="L27" s="55" t="e">
        <f>IF(AND('Mapa final'!#REF!="Media",'Mapa final'!#REF!="Leve"),CONCATENATE("R2C",'Mapa final'!#REF!),"")</f>
        <v>#REF!</v>
      </c>
      <c r="M27" s="55" t="e">
        <f>IF(AND('Mapa final'!#REF!="Media",'Mapa final'!#REF!="Leve"),CONCATENATE("R2C",'Mapa final'!#REF!),"")</f>
        <v>#REF!</v>
      </c>
      <c r="N27" s="55" t="e">
        <f>IF(AND('Mapa final'!#REF!="Media",'Mapa final'!#REF!="Leve"),CONCATENATE("R2C",'Mapa final'!#REF!),"")</f>
        <v>#REF!</v>
      </c>
      <c r="O27" s="56" t="e">
        <f>IF(AND('Mapa final'!#REF!="Media",'Mapa final'!#REF!="Leve"),CONCATENATE("R2C",'Mapa final'!#REF!),"")</f>
        <v>#REF!</v>
      </c>
      <c r="P27" s="54" t="str">
        <f>IF(AND('Mapa final'!$AJ$8="Media",'Mapa final'!$AL$8="Menor"),CONCATENATE("R2C",'Mapa final'!$V$8),"")</f>
        <v/>
      </c>
      <c r="Q27" s="55" t="str">
        <f>IF(AND('Mapa final'!$AJ$9="Media",'Mapa final'!$AL$9="Menor"),CONCATENATE("R2C",'Mapa final'!$V$9),"")</f>
        <v/>
      </c>
      <c r="R27" s="55" t="e">
        <f>IF(AND('Mapa final'!#REF!="Media",'Mapa final'!#REF!="Menor"),CONCATENATE("R2C",'Mapa final'!#REF!),"")</f>
        <v>#REF!</v>
      </c>
      <c r="S27" s="55" t="e">
        <f>IF(AND('Mapa final'!#REF!="Media",'Mapa final'!#REF!="Menor"),CONCATENATE("R2C",'Mapa final'!#REF!),"")</f>
        <v>#REF!</v>
      </c>
      <c r="T27" s="55" t="e">
        <f>IF(AND('Mapa final'!#REF!="Media",'Mapa final'!#REF!="Menor"),CONCATENATE("R2C",'Mapa final'!#REF!),"")</f>
        <v>#REF!</v>
      </c>
      <c r="U27" s="56" t="e">
        <f>IF(AND('Mapa final'!#REF!="Media",'Mapa final'!#REF!="Menor"),CONCATENATE("R2C",'Mapa final'!#REF!),"")</f>
        <v>#REF!</v>
      </c>
      <c r="V27" s="54" t="str">
        <f>IF(AND('Mapa final'!$AJ$8="Media",'Mapa final'!$AL$8="Moderado"),CONCATENATE("R2C",'Mapa final'!$V$8),"")</f>
        <v/>
      </c>
      <c r="W27" s="55" t="str">
        <f>IF(AND('Mapa final'!$AJ$9="Media",'Mapa final'!$AL$9="Moderado"),CONCATENATE("R2C",'Mapa final'!$V$9),"")</f>
        <v/>
      </c>
      <c r="X27" s="55" t="e">
        <f>IF(AND('Mapa final'!#REF!="Media",'Mapa final'!#REF!="Moderado"),CONCATENATE("R2C",'Mapa final'!#REF!),"")</f>
        <v>#REF!</v>
      </c>
      <c r="Y27" s="55" t="e">
        <f>IF(AND('Mapa final'!#REF!="Media",'Mapa final'!#REF!="Moderado"),CONCATENATE("R2C",'Mapa final'!#REF!),"")</f>
        <v>#REF!</v>
      </c>
      <c r="Z27" s="55" t="e">
        <f>IF(AND('Mapa final'!#REF!="Media",'Mapa final'!#REF!="Moderado"),CONCATENATE("R2C",'Mapa final'!#REF!),"")</f>
        <v>#REF!</v>
      </c>
      <c r="AA27" s="56" t="e">
        <f>IF(AND('Mapa final'!#REF!="Media",'Mapa final'!#REF!="Moderado"),CONCATENATE("R2C",'Mapa final'!#REF!),"")</f>
        <v>#REF!</v>
      </c>
      <c r="AB27" s="38" t="str">
        <f>IF(AND('Mapa final'!$AJ$8="Media",'Mapa final'!$AL$8="Mayor"),CONCATENATE("R2C",'Mapa final'!$V$8),"")</f>
        <v/>
      </c>
      <c r="AC27" s="39" t="str">
        <f>IF(AND('Mapa final'!$AJ$9="Media",'Mapa final'!$AL$9="Mayor"),CONCATENATE("R2C",'Mapa final'!$V$9),"")</f>
        <v/>
      </c>
      <c r="AD27" s="39" t="e">
        <f>IF(AND('Mapa final'!#REF!="Media",'Mapa final'!#REF!="Mayor"),CONCATENATE("R2C",'Mapa final'!#REF!),"")</f>
        <v>#REF!</v>
      </c>
      <c r="AE27" s="39" t="e">
        <f>IF(AND('Mapa final'!#REF!="Media",'Mapa final'!#REF!="Mayor"),CONCATENATE("R2C",'Mapa final'!#REF!),"")</f>
        <v>#REF!</v>
      </c>
      <c r="AF27" s="39" t="e">
        <f>IF(AND('Mapa final'!#REF!="Media",'Mapa final'!#REF!="Mayor"),CONCATENATE("R2C",'Mapa final'!#REF!),"")</f>
        <v>#REF!</v>
      </c>
      <c r="AG27" s="40" t="e">
        <f>IF(AND('Mapa final'!#REF!="Media",'Mapa final'!#REF!="Mayor"),CONCATENATE("R2C",'Mapa final'!#REF!),"")</f>
        <v>#REF!</v>
      </c>
      <c r="AH27" s="41" t="str">
        <f>IF(AND('Mapa final'!$AJ$8="Media",'Mapa final'!$AL$8="Catastrófico"),CONCATENATE("R2C",'Mapa final'!$V$8),"")</f>
        <v/>
      </c>
      <c r="AI27" s="42" t="str">
        <f>IF(AND('Mapa final'!$AJ$9="Media",'Mapa final'!$AL$9="Catastrófico"),CONCATENATE("R2C",'Mapa final'!$V$9),"")</f>
        <v/>
      </c>
      <c r="AJ27" s="42" t="e">
        <f>IF(AND('Mapa final'!#REF!="Media",'Mapa final'!#REF!="Catastrófico"),CONCATENATE("R2C",'Mapa final'!#REF!),"")</f>
        <v>#REF!</v>
      </c>
      <c r="AK27" s="42" t="e">
        <f>IF(AND('Mapa final'!#REF!="Media",'Mapa final'!#REF!="Catastrófico"),CONCATENATE("R2C",'Mapa final'!#REF!),"")</f>
        <v>#REF!</v>
      </c>
      <c r="AL27" s="42" t="e">
        <f>IF(AND('Mapa final'!#REF!="Media",'Mapa final'!#REF!="Catastrófico"),CONCATENATE("R2C",'Mapa final'!#REF!),"")</f>
        <v>#REF!</v>
      </c>
      <c r="AM27" s="43" t="e">
        <f>IF(AND('Mapa final'!#REF!="Media",'Mapa final'!#REF!="Catastrófico"),CONCATENATE("R2C",'Mapa final'!#REF!),"")</f>
        <v>#REF!</v>
      </c>
      <c r="AN27" s="70"/>
      <c r="AO27" s="439"/>
      <c r="AP27" s="440"/>
      <c r="AQ27" s="440"/>
      <c r="AR27" s="440"/>
      <c r="AS27" s="440"/>
      <c r="AT27" s="441"/>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row>
    <row r="28" spans="1:76" ht="15" customHeight="1" x14ac:dyDescent="0.25">
      <c r="A28" s="70"/>
      <c r="B28" s="308"/>
      <c r="C28" s="308"/>
      <c r="D28" s="309"/>
      <c r="E28" s="409"/>
      <c r="F28" s="410"/>
      <c r="G28" s="410"/>
      <c r="H28" s="410"/>
      <c r="I28" s="425"/>
      <c r="J28" s="54" t="str">
        <f>IF(AND('Mapa final'!$AJ$10="Media",'Mapa final'!$AL$10="Leve"),CONCATENATE("R3C",'Mapa final'!$V$10),"")</f>
        <v/>
      </c>
      <c r="K28" s="55" t="str">
        <f>IF(AND('Mapa final'!$AJ$11="Media",'Mapa final'!$AL$11="Leve"),CONCATENATE("R3C",'Mapa final'!$V$11),"")</f>
        <v/>
      </c>
      <c r="L28" s="55" t="e">
        <f>IF(AND('Mapa final'!#REF!="Media",'Mapa final'!#REF!="Leve"),CONCATENATE("R3C",'Mapa final'!#REF!),"")</f>
        <v>#REF!</v>
      </c>
      <c r="M28" s="55" t="e">
        <f>IF(AND('Mapa final'!#REF!="Media",'Mapa final'!#REF!="Leve"),CONCATENATE("R3C",'Mapa final'!#REF!),"")</f>
        <v>#REF!</v>
      </c>
      <c r="N28" s="55" t="e">
        <f>IF(AND('Mapa final'!#REF!="Media",'Mapa final'!#REF!="Leve"),CONCATENATE("R3C",'Mapa final'!#REF!),"")</f>
        <v>#REF!</v>
      </c>
      <c r="O28" s="56" t="e">
        <f>IF(AND('Mapa final'!#REF!="Media",'Mapa final'!#REF!="Leve"),CONCATENATE("R3C",'Mapa final'!#REF!),"")</f>
        <v>#REF!</v>
      </c>
      <c r="P28" s="54" t="str">
        <f>IF(AND('Mapa final'!$AJ$10="Media",'Mapa final'!$AL$10="Menor"),CONCATENATE("R3C",'Mapa final'!$V$10),"")</f>
        <v/>
      </c>
      <c r="Q28" s="55" t="str">
        <f>IF(AND('Mapa final'!$AJ$11="Media",'Mapa final'!$AL$11="Menor"),CONCATENATE("R3C",'Mapa final'!$V$11),"")</f>
        <v/>
      </c>
      <c r="R28" s="55" t="e">
        <f>IF(AND('Mapa final'!#REF!="Media",'Mapa final'!#REF!="Menor"),CONCATENATE("R3C",'Mapa final'!#REF!),"")</f>
        <v>#REF!</v>
      </c>
      <c r="S28" s="55" t="e">
        <f>IF(AND('Mapa final'!#REF!="Media",'Mapa final'!#REF!="Menor"),CONCATENATE("R3C",'Mapa final'!#REF!),"")</f>
        <v>#REF!</v>
      </c>
      <c r="T28" s="55" t="e">
        <f>IF(AND('Mapa final'!#REF!="Media",'Mapa final'!#REF!="Menor"),CONCATENATE("R3C",'Mapa final'!#REF!),"")</f>
        <v>#REF!</v>
      </c>
      <c r="U28" s="56" t="e">
        <f>IF(AND('Mapa final'!#REF!="Media",'Mapa final'!#REF!="Menor"),CONCATENATE("R3C",'Mapa final'!#REF!),"")</f>
        <v>#REF!</v>
      </c>
      <c r="V28" s="54" t="str">
        <f>IF(AND('Mapa final'!$AJ$10="Media",'Mapa final'!$AL$10="Moderado"),CONCATENATE("R3C",'Mapa final'!$V$10),"")</f>
        <v/>
      </c>
      <c r="W28" s="55" t="str">
        <f>IF(AND('Mapa final'!$AJ$11="Media",'Mapa final'!$AL$11="Moderado"),CONCATENATE("R3C",'Mapa final'!$V$11),"")</f>
        <v/>
      </c>
      <c r="X28" s="55" t="e">
        <f>IF(AND('Mapa final'!#REF!="Media",'Mapa final'!#REF!="Moderado"),CONCATENATE("R3C",'Mapa final'!#REF!),"")</f>
        <v>#REF!</v>
      </c>
      <c r="Y28" s="55" t="e">
        <f>IF(AND('Mapa final'!#REF!="Media",'Mapa final'!#REF!="Moderado"),CONCATENATE("R3C",'Mapa final'!#REF!),"")</f>
        <v>#REF!</v>
      </c>
      <c r="Z28" s="55" t="e">
        <f>IF(AND('Mapa final'!#REF!="Media",'Mapa final'!#REF!="Moderado"),CONCATENATE("R3C",'Mapa final'!#REF!),"")</f>
        <v>#REF!</v>
      </c>
      <c r="AA28" s="56" t="e">
        <f>IF(AND('Mapa final'!#REF!="Media",'Mapa final'!#REF!="Moderado"),CONCATENATE("R3C",'Mapa final'!#REF!),"")</f>
        <v>#REF!</v>
      </c>
      <c r="AB28" s="38" t="str">
        <f>IF(AND('Mapa final'!$AJ$10="Media",'Mapa final'!$AL$10="Mayor"),CONCATENATE("R3C",'Mapa final'!$V$10),"")</f>
        <v/>
      </c>
      <c r="AC28" s="39" t="str">
        <f>IF(AND('Mapa final'!$AJ$11="Media",'Mapa final'!$AL$11="Mayor"),CONCATENATE("R3C",'Mapa final'!$V$11),"")</f>
        <v/>
      </c>
      <c r="AD28" s="39" t="e">
        <f>IF(AND('Mapa final'!#REF!="Media",'Mapa final'!#REF!="Mayor"),CONCATENATE("R3C",'Mapa final'!#REF!),"")</f>
        <v>#REF!</v>
      </c>
      <c r="AE28" s="39" t="e">
        <f>IF(AND('Mapa final'!#REF!="Media",'Mapa final'!#REF!="Mayor"),CONCATENATE("R3C",'Mapa final'!#REF!),"")</f>
        <v>#REF!</v>
      </c>
      <c r="AF28" s="39" t="e">
        <f>IF(AND('Mapa final'!#REF!="Media",'Mapa final'!#REF!="Mayor"),CONCATENATE("R3C",'Mapa final'!#REF!),"")</f>
        <v>#REF!</v>
      </c>
      <c r="AG28" s="40" t="e">
        <f>IF(AND('Mapa final'!#REF!="Media",'Mapa final'!#REF!="Mayor"),CONCATENATE("R3C",'Mapa final'!#REF!),"")</f>
        <v>#REF!</v>
      </c>
      <c r="AH28" s="41" t="str">
        <f>IF(AND('Mapa final'!$AJ$10="Media",'Mapa final'!$AL$10="Catastrófico"),CONCATENATE("R3C",'Mapa final'!$V$10),"")</f>
        <v/>
      </c>
      <c r="AI28" s="42" t="str">
        <f>IF(AND('Mapa final'!$AJ$11="Media",'Mapa final'!$AL$11="Catastrófico"),CONCATENATE("R3C",'Mapa final'!$V$11),"")</f>
        <v/>
      </c>
      <c r="AJ28" s="42" t="e">
        <f>IF(AND('Mapa final'!#REF!="Media",'Mapa final'!#REF!="Catastrófico"),CONCATENATE("R3C",'Mapa final'!#REF!),"")</f>
        <v>#REF!</v>
      </c>
      <c r="AK28" s="42" t="e">
        <f>IF(AND('Mapa final'!#REF!="Media",'Mapa final'!#REF!="Catastrófico"),CONCATENATE("R3C",'Mapa final'!#REF!),"")</f>
        <v>#REF!</v>
      </c>
      <c r="AL28" s="42" t="e">
        <f>IF(AND('Mapa final'!#REF!="Media",'Mapa final'!#REF!="Catastrófico"),CONCATENATE("R3C",'Mapa final'!#REF!),"")</f>
        <v>#REF!</v>
      </c>
      <c r="AM28" s="43" t="e">
        <f>IF(AND('Mapa final'!#REF!="Media",'Mapa final'!#REF!="Catastrófico"),CONCATENATE("R3C",'Mapa final'!#REF!),"")</f>
        <v>#REF!</v>
      </c>
      <c r="AN28" s="70"/>
      <c r="AO28" s="439"/>
      <c r="AP28" s="440"/>
      <c r="AQ28" s="440"/>
      <c r="AR28" s="440"/>
      <c r="AS28" s="440"/>
      <c r="AT28" s="441"/>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row>
    <row r="29" spans="1:76" ht="15" customHeight="1" x14ac:dyDescent="0.25">
      <c r="A29" s="70"/>
      <c r="B29" s="308"/>
      <c r="C29" s="308"/>
      <c r="D29" s="309"/>
      <c r="E29" s="409"/>
      <c r="F29" s="410"/>
      <c r="G29" s="410"/>
      <c r="H29" s="410"/>
      <c r="I29" s="425"/>
      <c r="J29" s="54" t="str">
        <f>IF(AND('Mapa final'!$AJ$12="Media",'Mapa final'!$AL$12="Leve"),CONCATENATE("R4C",'Mapa final'!$V$12),"")</f>
        <v/>
      </c>
      <c r="K29" s="55" t="str">
        <f>IF(AND('Mapa final'!$AJ$13="Media",'Mapa final'!$AL$13="Leve"),CONCATENATE("R4C",'Mapa final'!$V$13),"")</f>
        <v/>
      </c>
      <c r="L29" s="55" t="str">
        <f>IF(AND('Mapa final'!$AJ$14="Media",'Mapa final'!$AL$14="Leve"),CONCATENATE("R4C",'Mapa final'!$V$14),"")</f>
        <v/>
      </c>
      <c r="M29" s="55" t="e">
        <f>IF(AND('Mapa final'!#REF!="Media",'Mapa final'!#REF!="Leve"),CONCATENATE("R4C",'Mapa final'!#REF!),"")</f>
        <v>#REF!</v>
      </c>
      <c r="N29" s="55" t="e">
        <f>IF(AND('Mapa final'!#REF!="Media",'Mapa final'!#REF!="Leve"),CONCATENATE("R4C",'Mapa final'!#REF!),"")</f>
        <v>#REF!</v>
      </c>
      <c r="O29" s="56" t="e">
        <f>IF(AND('Mapa final'!#REF!="Media",'Mapa final'!#REF!="Leve"),CONCATENATE("R4C",'Mapa final'!#REF!),"")</f>
        <v>#REF!</v>
      </c>
      <c r="P29" s="54" t="str">
        <f>IF(AND('Mapa final'!$AJ$12="Media",'Mapa final'!$AL$12="Menor"),CONCATENATE("R4C",'Mapa final'!$V$12),"")</f>
        <v/>
      </c>
      <c r="Q29" s="55" t="str">
        <f>IF(AND('Mapa final'!$AJ$13="Media",'Mapa final'!$AL$13="Menor"),CONCATENATE("R4C",'Mapa final'!$V$13),"")</f>
        <v/>
      </c>
      <c r="R29" s="55" t="str">
        <f>IF(AND('Mapa final'!$AJ$14="Media",'Mapa final'!$AL$14="Menor"),CONCATENATE("R4C",'Mapa final'!$V$14),"")</f>
        <v/>
      </c>
      <c r="S29" s="55" t="e">
        <f>IF(AND('Mapa final'!#REF!="Media",'Mapa final'!#REF!="Menor"),CONCATENATE("R4C",'Mapa final'!#REF!),"")</f>
        <v>#REF!</v>
      </c>
      <c r="T29" s="55" t="e">
        <f>IF(AND('Mapa final'!#REF!="Media",'Mapa final'!#REF!="Menor"),CONCATENATE("R4C",'Mapa final'!#REF!),"")</f>
        <v>#REF!</v>
      </c>
      <c r="U29" s="56" t="e">
        <f>IF(AND('Mapa final'!#REF!="Media",'Mapa final'!#REF!="Menor"),CONCATENATE("R4C",'Mapa final'!#REF!),"")</f>
        <v>#REF!</v>
      </c>
      <c r="V29" s="54" t="str">
        <f>IF(AND('Mapa final'!$AJ$12="Media",'Mapa final'!$AL$12="Moderado"),CONCATENATE("R4C",'Mapa final'!$V$12),"")</f>
        <v/>
      </c>
      <c r="W29" s="55" t="str">
        <f>IF(AND('Mapa final'!$AJ$13="Media",'Mapa final'!$AL$13="Moderado"),CONCATENATE("R4C",'Mapa final'!$V$13),"")</f>
        <v/>
      </c>
      <c r="X29" s="55" t="str">
        <f>IF(AND('Mapa final'!$AJ$14="Media",'Mapa final'!$AL$14="Moderado"),CONCATENATE("R4C",'Mapa final'!$V$14),"")</f>
        <v/>
      </c>
      <c r="Y29" s="55" t="e">
        <f>IF(AND('Mapa final'!#REF!="Media",'Mapa final'!#REF!="Moderado"),CONCATENATE("R4C",'Mapa final'!#REF!),"")</f>
        <v>#REF!</v>
      </c>
      <c r="Z29" s="55" t="e">
        <f>IF(AND('Mapa final'!#REF!="Media",'Mapa final'!#REF!="Moderado"),CONCATENATE("R4C",'Mapa final'!#REF!),"")</f>
        <v>#REF!</v>
      </c>
      <c r="AA29" s="56" t="e">
        <f>IF(AND('Mapa final'!#REF!="Media",'Mapa final'!#REF!="Moderado"),CONCATENATE("R4C",'Mapa final'!#REF!),"")</f>
        <v>#REF!</v>
      </c>
      <c r="AB29" s="38" t="str">
        <f>IF(AND('Mapa final'!$AJ$12="Media",'Mapa final'!$AL$12="Mayor"),CONCATENATE("R4C",'Mapa final'!$V$12),"")</f>
        <v/>
      </c>
      <c r="AC29" s="39" t="str">
        <f>IF(AND('Mapa final'!$AJ$13="Media",'Mapa final'!$AL$13="Mayor"),CONCATENATE("R4C",'Mapa final'!$V$13),"")</f>
        <v/>
      </c>
      <c r="AD29" s="44" t="str">
        <f>IF(AND('Mapa final'!$AJ$14="Media",'Mapa final'!$AL$14="Mayor"),CONCATENATE("R4C",'Mapa final'!$V$14),"")</f>
        <v/>
      </c>
      <c r="AE29" s="44" t="e">
        <f>IF(AND('Mapa final'!#REF!="Media",'Mapa final'!#REF!="Mayor"),CONCATENATE("R4C",'Mapa final'!#REF!),"")</f>
        <v>#REF!</v>
      </c>
      <c r="AF29" s="44" t="e">
        <f>IF(AND('Mapa final'!#REF!="Media",'Mapa final'!#REF!="Mayor"),CONCATENATE("R4C",'Mapa final'!#REF!),"")</f>
        <v>#REF!</v>
      </c>
      <c r="AG29" s="40" t="e">
        <f>IF(AND('Mapa final'!#REF!="Media",'Mapa final'!#REF!="Mayor"),CONCATENATE("R4C",'Mapa final'!#REF!),"")</f>
        <v>#REF!</v>
      </c>
      <c r="AH29" s="41" t="str">
        <f>IF(AND('Mapa final'!$AJ$12="Media",'Mapa final'!$AL$12="Catastrófico"),CONCATENATE("R4C",'Mapa final'!$V$12),"")</f>
        <v/>
      </c>
      <c r="AI29" s="42" t="str">
        <f>IF(AND('Mapa final'!$AJ$13="Media",'Mapa final'!$AL$13="Catastrófico"),CONCATENATE("R4C",'Mapa final'!$V$13),"")</f>
        <v/>
      </c>
      <c r="AJ29" s="42" t="str">
        <f>IF(AND('Mapa final'!$AJ$14="Media",'Mapa final'!$AL$14="Catastrófico"),CONCATENATE("R4C",'Mapa final'!$V$14),"")</f>
        <v/>
      </c>
      <c r="AK29" s="42" t="e">
        <f>IF(AND('Mapa final'!#REF!="Media",'Mapa final'!#REF!="Catastrófico"),CONCATENATE("R4C",'Mapa final'!#REF!),"")</f>
        <v>#REF!</v>
      </c>
      <c r="AL29" s="42" t="e">
        <f>IF(AND('Mapa final'!#REF!="Media",'Mapa final'!#REF!="Catastrófico"),CONCATENATE("R4C",'Mapa final'!#REF!),"")</f>
        <v>#REF!</v>
      </c>
      <c r="AM29" s="43" t="e">
        <f>IF(AND('Mapa final'!#REF!="Media",'Mapa final'!#REF!="Catastrófico"),CONCATENATE("R4C",'Mapa final'!#REF!),"")</f>
        <v>#REF!</v>
      </c>
      <c r="AN29" s="70"/>
      <c r="AO29" s="439"/>
      <c r="AP29" s="440"/>
      <c r="AQ29" s="440"/>
      <c r="AR29" s="440"/>
      <c r="AS29" s="440"/>
      <c r="AT29" s="441"/>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row>
    <row r="30" spans="1:76" ht="15" customHeight="1" x14ac:dyDescent="0.25">
      <c r="A30" s="70"/>
      <c r="B30" s="308"/>
      <c r="C30" s="308"/>
      <c r="D30" s="309"/>
      <c r="E30" s="409"/>
      <c r="F30" s="410"/>
      <c r="G30" s="410"/>
      <c r="H30" s="410"/>
      <c r="I30" s="425"/>
      <c r="J30" s="54" t="str">
        <f>IF(AND('Mapa final'!$AJ$15="Media",'Mapa final'!$AL$15="Leve"),CONCATENATE("R5C",'Mapa final'!$V$15),"")</f>
        <v/>
      </c>
      <c r="K30" s="55" t="str">
        <f>IF(AND('Mapa final'!$AJ$16="Media",'Mapa final'!$AL$16="Leve"),CONCATENATE("R5C",'Mapa final'!$V$16),"")</f>
        <v/>
      </c>
      <c r="L30" s="55" t="e">
        <f>IF(AND('Mapa final'!#REF!="Media",'Mapa final'!#REF!="Leve"),CONCATENATE("R5C",'Mapa final'!#REF!),"")</f>
        <v>#REF!</v>
      </c>
      <c r="M30" s="55" t="e">
        <f>IF(AND('Mapa final'!#REF!="Media",'Mapa final'!#REF!="Leve"),CONCATENATE("R5C",'Mapa final'!#REF!),"")</f>
        <v>#REF!</v>
      </c>
      <c r="N30" s="55" t="e">
        <f>IF(AND('Mapa final'!#REF!="Media",'Mapa final'!#REF!="Leve"),CONCATENATE("R5C",'Mapa final'!#REF!),"")</f>
        <v>#REF!</v>
      </c>
      <c r="O30" s="56" t="e">
        <f>IF(AND('Mapa final'!#REF!="Media",'Mapa final'!#REF!="Leve"),CONCATENATE("R5C",'Mapa final'!#REF!),"")</f>
        <v>#REF!</v>
      </c>
      <c r="P30" s="54" t="str">
        <f>IF(AND('Mapa final'!$AJ$15="Media",'Mapa final'!$AL$15="Menor"),CONCATENATE("R5C",'Mapa final'!$V$15),"")</f>
        <v/>
      </c>
      <c r="Q30" s="55" t="str">
        <f>IF(AND('Mapa final'!$AJ$16="Media",'Mapa final'!$AL$16="Menor"),CONCATENATE("R5C",'Mapa final'!$V$16),"")</f>
        <v/>
      </c>
      <c r="R30" s="55" t="e">
        <f>IF(AND('Mapa final'!#REF!="Media",'Mapa final'!#REF!="Menor"),CONCATENATE("R5C",'Mapa final'!#REF!),"")</f>
        <v>#REF!</v>
      </c>
      <c r="S30" s="55" t="e">
        <f>IF(AND('Mapa final'!#REF!="Media",'Mapa final'!#REF!="Menor"),CONCATENATE("R5C",'Mapa final'!#REF!),"")</f>
        <v>#REF!</v>
      </c>
      <c r="T30" s="55" t="e">
        <f>IF(AND('Mapa final'!#REF!="Media",'Mapa final'!#REF!="Menor"),CONCATENATE("R5C",'Mapa final'!#REF!),"")</f>
        <v>#REF!</v>
      </c>
      <c r="U30" s="56" t="e">
        <f>IF(AND('Mapa final'!#REF!="Media",'Mapa final'!#REF!="Menor"),CONCATENATE("R5C",'Mapa final'!#REF!),"")</f>
        <v>#REF!</v>
      </c>
      <c r="V30" s="54" t="str">
        <f>IF(AND('Mapa final'!$AJ$15="Media",'Mapa final'!$AL$15="Moderado"),CONCATENATE("R5C",'Mapa final'!$V$15),"")</f>
        <v/>
      </c>
      <c r="W30" s="55" t="str">
        <f>IF(AND('Mapa final'!$AJ$16="Media",'Mapa final'!$AL$16="Moderado"),CONCATENATE("R5C",'Mapa final'!$V$16),"")</f>
        <v/>
      </c>
      <c r="X30" s="55" t="e">
        <f>IF(AND('Mapa final'!#REF!="Media",'Mapa final'!#REF!="Moderado"),CONCATENATE("R5C",'Mapa final'!#REF!),"")</f>
        <v>#REF!</v>
      </c>
      <c r="Y30" s="55" t="e">
        <f>IF(AND('Mapa final'!#REF!="Media",'Mapa final'!#REF!="Moderado"),CONCATENATE("R5C",'Mapa final'!#REF!),"")</f>
        <v>#REF!</v>
      </c>
      <c r="Z30" s="55" t="e">
        <f>IF(AND('Mapa final'!#REF!="Media",'Mapa final'!#REF!="Moderado"),CONCATENATE("R5C",'Mapa final'!#REF!),"")</f>
        <v>#REF!</v>
      </c>
      <c r="AA30" s="56" t="e">
        <f>IF(AND('Mapa final'!#REF!="Media",'Mapa final'!#REF!="Moderado"),CONCATENATE("R5C",'Mapa final'!#REF!),"")</f>
        <v>#REF!</v>
      </c>
      <c r="AB30" s="38" t="str">
        <f>IF(AND('Mapa final'!$AJ$15="Media",'Mapa final'!$AL$15="Mayor"),CONCATENATE("R5C",'Mapa final'!$V$15),"")</f>
        <v/>
      </c>
      <c r="AC30" s="39" t="str">
        <f>IF(AND('Mapa final'!$AJ$16="Media",'Mapa final'!$AL$16="Mayor"),CONCATENATE("R5C",'Mapa final'!$V$16),"")</f>
        <v/>
      </c>
      <c r="AD30" s="44" t="e">
        <f>IF(AND('Mapa final'!#REF!="Media",'Mapa final'!#REF!="Mayor"),CONCATENATE("R5C",'Mapa final'!#REF!),"")</f>
        <v>#REF!</v>
      </c>
      <c r="AE30" s="44" t="e">
        <f>IF(AND('Mapa final'!#REF!="Media",'Mapa final'!#REF!="Mayor"),CONCATENATE("R5C",'Mapa final'!#REF!),"")</f>
        <v>#REF!</v>
      </c>
      <c r="AF30" s="44" t="e">
        <f>IF(AND('Mapa final'!#REF!="Media",'Mapa final'!#REF!="Mayor"),CONCATENATE("R5C",'Mapa final'!#REF!),"")</f>
        <v>#REF!</v>
      </c>
      <c r="AG30" s="40" t="e">
        <f>IF(AND('Mapa final'!#REF!="Media",'Mapa final'!#REF!="Mayor"),CONCATENATE("R5C",'Mapa final'!#REF!),"")</f>
        <v>#REF!</v>
      </c>
      <c r="AH30" s="41" t="str">
        <f>IF(AND('Mapa final'!$AJ$15="Media",'Mapa final'!$AL$15="Catastrófico"),CONCATENATE("R5C",'Mapa final'!$V$15),"")</f>
        <v/>
      </c>
      <c r="AI30" s="42" t="str">
        <f>IF(AND('Mapa final'!$AJ$16="Media",'Mapa final'!$AL$16="Catastrófico"),CONCATENATE("R5C",'Mapa final'!$V$16),"")</f>
        <v/>
      </c>
      <c r="AJ30" s="42" t="e">
        <f>IF(AND('Mapa final'!#REF!="Media",'Mapa final'!#REF!="Catastrófico"),CONCATENATE("R5C",'Mapa final'!#REF!),"")</f>
        <v>#REF!</v>
      </c>
      <c r="AK30" s="42" t="e">
        <f>IF(AND('Mapa final'!#REF!="Media",'Mapa final'!#REF!="Catastrófico"),CONCATENATE("R5C",'Mapa final'!#REF!),"")</f>
        <v>#REF!</v>
      </c>
      <c r="AL30" s="42" t="e">
        <f>IF(AND('Mapa final'!#REF!="Media",'Mapa final'!#REF!="Catastrófico"),CONCATENATE("R5C",'Mapa final'!#REF!),"")</f>
        <v>#REF!</v>
      </c>
      <c r="AM30" s="43" t="e">
        <f>IF(AND('Mapa final'!#REF!="Media",'Mapa final'!#REF!="Catastrófico"),CONCATENATE("R5C",'Mapa final'!#REF!),"")</f>
        <v>#REF!</v>
      </c>
      <c r="AN30" s="70"/>
      <c r="AO30" s="439"/>
      <c r="AP30" s="440"/>
      <c r="AQ30" s="440"/>
      <c r="AR30" s="440"/>
      <c r="AS30" s="440"/>
      <c r="AT30" s="441"/>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row>
    <row r="31" spans="1:76" ht="15" customHeight="1" x14ac:dyDescent="0.25">
      <c r="A31" s="70"/>
      <c r="B31" s="308"/>
      <c r="C31" s="308"/>
      <c r="D31" s="309"/>
      <c r="E31" s="409"/>
      <c r="F31" s="410"/>
      <c r="G31" s="410"/>
      <c r="H31" s="410"/>
      <c r="I31" s="425"/>
      <c r="J31" s="54" t="str">
        <f>IF(AND('Mapa final'!$AJ$17="Media",'Mapa final'!$AL$17="Leve"),CONCATENATE("R6C",'Mapa final'!$V$17),"")</f>
        <v/>
      </c>
      <c r="K31" s="55" t="str">
        <f>IF(AND('Mapa final'!$AJ$18="Media",'Mapa final'!$AL$18="Leve"),CONCATENATE("R6C",'Mapa final'!$V$18),"")</f>
        <v/>
      </c>
      <c r="L31" s="55" t="e">
        <f>IF(AND('Mapa final'!#REF!="Media",'Mapa final'!#REF!="Leve"),CONCATENATE("R6C",'Mapa final'!#REF!),"")</f>
        <v>#REF!</v>
      </c>
      <c r="M31" s="55" t="str">
        <f>IF(AND('Mapa final'!$AJ$19="Media",'Mapa final'!$AL$19="Leve"),CONCATENATE("R6C",'Mapa final'!$V$19),"")</f>
        <v/>
      </c>
      <c r="N31" s="55" t="e">
        <f>IF(AND('Mapa final'!#REF!="Media",'Mapa final'!#REF!="Leve"),CONCATENATE("R6C",'Mapa final'!#REF!),"")</f>
        <v>#REF!</v>
      </c>
      <c r="O31" s="56" t="e">
        <f>IF(AND('Mapa final'!#REF!="Media",'Mapa final'!#REF!="Leve"),CONCATENATE("R6C",'Mapa final'!#REF!),"")</f>
        <v>#REF!</v>
      </c>
      <c r="P31" s="54" t="str">
        <f>IF(AND('Mapa final'!$AJ$17="Media",'Mapa final'!$AL$17="Menor"),CONCATENATE("R6C",'Mapa final'!$V$17),"")</f>
        <v/>
      </c>
      <c r="Q31" s="55" t="str">
        <f>IF(AND('Mapa final'!$AJ$18="Media",'Mapa final'!$AL$18="Menor"),CONCATENATE("R6C",'Mapa final'!$V$18),"")</f>
        <v/>
      </c>
      <c r="R31" s="55" t="e">
        <f>IF(AND('Mapa final'!#REF!="Media",'Mapa final'!#REF!="Menor"),CONCATENATE("R6C",'Mapa final'!#REF!),"")</f>
        <v>#REF!</v>
      </c>
      <c r="S31" s="55" t="str">
        <f>IF(AND('Mapa final'!$AJ$19="Media",'Mapa final'!$AL$19="Menor"),CONCATENATE("R6C",'Mapa final'!$V$19),"")</f>
        <v/>
      </c>
      <c r="T31" s="55" t="e">
        <f>IF(AND('Mapa final'!#REF!="Media",'Mapa final'!#REF!="Menor"),CONCATENATE("R6C",'Mapa final'!#REF!),"")</f>
        <v>#REF!</v>
      </c>
      <c r="U31" s="56" t="e">
        <f>IF(AND('Mapa final'!#REF!="Media",'Mapa final'!#REF!="Menor"),CONCATENATE("R6C",'Mapa final'!#REF!),"")</f>
        <v>#REF!</v>
      </c>
      <c r="V31" s="54" t="str">
        <f>IF(AND('Mapa final'!$AJ$17="Media",'Mapa final'!$AL$17="Moderado"),CONCATENATE("R6C",'Mapa final'!$V$17),"")</f>
        <v/>
      </c>
      <c r="W31" s="55" t="str">
        <f>IF(AND('Mapa final'!$AJ$18="Media",'Mapa final'!$AL$18="Moderado"),CONCATENATE("R6C",'Mapa final'!$V$18),"")</f>
        <v/>
      </c>
      <c r="X31" s="55" t="e">
        <f>IF(AND('Mapa final'!#REF!="Media",'Mapa final'!#REF!="Moderado"),CONCATENATE("R6C",'Mapa final'!#REF!),"")</f>
        <v>#REF!</v>
      </c>
      <c r="Y31" s="55" t="str">
        <f>IF(AND('Mapa final'!$AJ$19="Media",'Mapa final'!$AL$19="Moderado"),CONCATENATE("R6C",'Mapa final'!$V$19),"")</f>
        <v/>
      </c>
      <c r="Z31" s="55" t="e">
        <f>IF(AND('Mapa final'!#REF!="Media",'Mapa final'!#REF!="Moderado"),CONCATENATE("R6C",'Mapa final'!#REF!),"")</f>
        <v>#REF!</v>
      </c>
      <c r="AA31" s="56" t="e">
        <f>IF(AND('Mapa final'!#REF!="Media",'Mapa final'!#REF!="Moderado"),CONCATENATE("R6C",'Mapa final'!#REF!),"")</f>
        <v>#REF!</v>
      </c>
      <c r="AB31" s="38" t="str">
        <f>IF(AND('Mapa final'!$AJ$17="Media",'Mapa final'!$AL$17="Mayor"),CONCATENATE("R6C",'Mapa final'!$V$17),"")</f>
        <v/>
      </c>
      <c r="AC31" s="39" t="str">
        <f>IF(AND('Mapa final'!$AJ$18="Media",'Mapa final'!$AL$18="Mayor"),CONCATENATE("R6C",'Mapa final'!$V$18),"")</f>
        <v/>
      </c>
      <c r="AD31" s="44" t="e">
        <f>IF(AND('Mapa final'!#REF!="Media",'Mapa final'!#REF!="Mayor"),CONCATENATE("R6C",'Mapa final'!#REF!),"")</f>
        <v>#REF!</v>
      </c>
      <c r="AE31" s="44" t="str">
        <f>IF(AND('Mapa final'!$AJ$19="Media",'Mapa final'!$AL$19="Mayor"),CONCATENATE("R6C",'Mapa final'!$V$19),"")</f>
        <v/>
      </c>
      <c r="AF31" s="44" t="e">
        <f>IF(AND('Mapa final'!#REF!="Media",'Mapa final'!#REF!="Mayor"),CONCATENATE("R6C",'Mapa final'!#REF!),"")</f>
        <v>#REF!</v>
      </c>
      <c r="AG31" s="40" t="e">
        <f>IF(AND('Mapa final'!#REF!="Media",'Mapa final'!#REF!="Mayor"),CONCATENATE("R6C",'Mapa final'!#REF!),"")</f>
        <v>#REF!</v>
      </c>
      <c r="AH31" s="41" t="str">
        <f>IF(AND('Mapa final'!$AJ$17="Media",'Mapa final'!$AL$17="Catastrófico"),CONCATENATE("R6C",'Mapa final'!$V$17),"")</f>
        <v/>
      </c>
      <c r="AI31" s="42" t="str">
        <f>IF(AND('Mapa final'!$AJ$18="Media",'Mapa final'!$AL$18="Catastrófico"),CONCATENATE("R6C",'Mapa final'!$V$18),"")</f>
        <v/>
      </c>
      <c r="AJ31" s="42" t="e">
        <f>IF(AND('Mapa final'!#REF!="Media",'Mapa final'!#REF!="Catastrófico"),CONCATENATE("R6C",'Mapa final'!#REF!),"")</f>
        <v>#REF!</v>
      </c>
      <c r="AK31" s="42" t="str">
        <f>IF(AND('Mapa final'!$AJ$19="Media",'Mapa final'!$AL$19="Catastrófico"),CONCATENATE("R6C",'Mapa final'!$V$19),"")</f>
        <v/>
      </c>
      <c r="AL31" s="42" t="e">
        <f>IF(AND('Mapa final'!#REF!="Media",'Mapa final'!#REF!="Catastrófico"),CONCATENATE("R6C",'Mapa final'!#REF!),"")</f>
        <v>#REF!</v>
      </c>
      <c r="AM31" s="43" t="e">
        <f>IF(AND('Mapa final'!#REF!="Media",'Mapa final'!#REF!="Catastrófico"),CONCATENATE("R6C",'Mapa final'!#REF!),"")</f>
        <v>#REF!</v>
      </c>
      <c r="AN31" s="70"/>
      <c r="AO31" s="439"/>
      <c r="AP31" s="440"/>
      <c r="AQ31" s="440"/>
      <c r="AR31" s="440"/>
      <c r="AS31" s="440"/>
      <c r="AT31" s="441"/>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row>
    <row r="32" spans="1:76" ht="15" customHeight="1" x14ac:dyDescent="0.25">
      <c r="A32" s="70"/>
      <c r="B32" s="308"/>
      <c r="C32" s="308"/>
      <c r="D32" s="309"/>
      <c r="E32" s="409"/>
      <c r="F32" s="410"/>
      <c r="G32" s="410"/>
      <c r="H32" s="410"/>
      <c r="I32" s="425"/>
      <c r="J32" s="54" t="str">
        <f>IF(AND('Mapa final'!$AJ$20="Media",'Mapa final'!$AL$20="Leve"),CONCATENATE("R7C",'Mapa final'!$V$20),"")</f>
        <v/>
      </c>
      <c r="K32" s="55" t="str">
        <f>IF(AND('Mapa final'!$AJ$21="Media",'Mapa final'!$AL$21="Leve"),CONCATENATE("R7C",'Mapa final'!$V$21),"")</f>
        <v/>
      </c>
      <c r="L32" s="55" t="e">
        <f>IF(AND('Mapa final'!#REF!="Media",'Mapa final'!#REF!="Leve"),CONCATENATE("R7C",'Mapa final'!#REF!),"")</f>
        <v>#REF!</v>
      </c>
      <c r="M32" s="55" t="e">
        <f>IF(AND('Mapa final'!#REF!="Media",'Mapa final'!#REF!="Leve"),CONCATENATE("R7C",'Mapa final'!#REF!),"")</f>
        <v>#REF!</v>
      </c>
      <c r="N32" s="55" t="e">
        <f>IF(AND('Mapa final'!#REF!="Media",'Mapa final'!#REF!="Leve"),CONCATENATE("R7C",'Mapa final'!#REF!),"")</f>
        <v>#REF!</v>
      </c>
      <c r="O32" s="56" t="e">
        <f>IF(AND('Mapa final'!#REF!="Media",'Mapa final'!#REF!="Leve"),CONCATENATE("R7C",'Mapa final'!#REF!),"")</f>
        <v>#REF!</v>
      </c>
      <c r="P32" s="54" t="str">
        <f>IF(AND('Mapa final'!$AJ$20="Media",'Mapa final'!$AL$20="Menor"),CONCATENATE("R7C",'Mapa final'!$V$20),"")</f>
        <v/>
      </c>
      <c r="Q32" s="55" t="str">
        <f>IF(AND('Mapa final'!$AJ$21="Media",'Mapa final'!$AL$21="Menor"),CONCATENATE("R7C",'Mapa final'!$V$21),"")</f>
        <v/>
      </c>
      <c r="R32" s="55" t="e">
        <f>IF(AND('Mapa final'!#REF!="Media",'Mapa final'!#REF!="Menor"),CONCATENATE("R7C",'Mapa final'!#REF!),"")</f>
        <v>#REF!</v>
      </c>
      <c r="S32" s="55" t="e">
        <f>IF(AND('Mapa final'!#REF!="Media",'Mapa final'!#REF!="Menor"),CONCATENATE("R7C",'Mapa final'!#REF!),"")</f>
        <v>#REF!</v>
      </c>
      <c r="T32" s="55" t="e">
        <f>IF(AND('Mapa final'!#REF!="Media",'Mapa final'!#REF!="Menor"),CONCATENATE("R7C",'Mapa final'!#REF!),"")</f>
        <v>#REF!</v>
      </c>
      <c r="U32" s="56" t="e">
        <f>IF(AND('Mapa final'!#REF!="Media",'Mapa final'!#REF!="Menor"),CONCATENATE("R7C",'Mapa final'!#REF!),"")</f>
        <v>#REF!</v>
      </c>
      <c r="V32" s="54" t="str">
        <f>IF(AND('Mapa final'!$AJ$20="Media",'Mapa final'!$AL$20="Moderado"),CONCATENATE("R7C",'Mapa final'!$V$20),"")</f>
        <v/>
      </c>
      <c r="W32" s="55" t="str">
        <f>IF(AND('Mapa final'!$AJ$21="Media",'Mapa final'!$AL$21="Moderado"),CONCATENATE("R7C",'Mapa final'!$V$21),"")</f>
        <v/>
      </c>
      <c r="X32" s="55" t="e">
        <f>IF(AND('Mapa final'!#REF!="Media",'Mapa final'!#REF!="Moderado"),CONCATENATE("R7C",'Mapa final'!#REF!),"")</f>
        <v>#REF!</v>
      </c>
      <c r="Y32" s="55" t="e">
        <f>IF(AND('Mapa final'!#REF!="Media",'Mapa final'!#REF!="Moderado"),CONCATENATE("R7C",'Mapa final'!#REF!),"")</f>
        <v>#REF!</v>
      </c>
      <c r="Z32" s="55" t="e">
        <f>IF(AND('Mapa final'!#REF!="Media",'Mapa final'!#REF!="Moderado"),CONCATENATE("R7C",'Mapa final'!#REF!),"")</f>
        <v>#REF!</v>
      </c>
      <c r="AA32" s="56" t="e">
        <f>IF(AND('Mapa final'!#REF!="Media",'Mapa final'!#REF!="Moderado"),CONCATENATE("R7C",'Mapa final'!#REF!),"")</f>
        <v>#REF!</v>
      </c>
      <c r="AB32" s="38" t="str">
        <f>IF(AND('Mapa final'!$AJ$20="Media",'Mapa final'!$AL$20="Mayor"),CONCATENATE("R7C",'Mapa final'!$V$20),"")</f>
        <v/>
      </c>
      <c r="AC32" s="39" t="str">
        <f>IF(AND('Mapa final'!$AJ$21="Media",'Mapa final'!$AL$21="Mayor"),CONCATENATE("R7C",'Mapa final'!$V$21),"")</f>
        <v/>
      </c>
      <c r="AD32" s="44" t="e">
        <f>IF(AND('Mapa final'!#REF!="Media",'Mapa final'!#REF!="Mayor"),CONCATENATE("R7C",'Mapa final'!#REF!),"")</f>
        <v>#REF!</v>
      </c>
      <c r="AE32" s="44" t="e">
        <f>IF(AND('Mapa final'!#REF!="Media",'Mapa final'!#REF!="Mayor"),CONCATENATE("R7C",'Mapa final'!#REF!),"")</f>
        <v>#REF!</v>
      </c>
      <c r="AF32" s="44" t="e">
        <f>IF(AND('Mapa final'!#REF!="Media",'Mapa final'!#REF!="Mayor"),CONCATENATE("R7C",'Mapa final'!#REF!),"")</f>
        <v>#REF!</v>
      </c>
      <c r="AG32" s="40" t="e">
        <f>IF(AND('Mapa final'!#REF!="Media",'Mapa final'!#REF!="Mayor"),CONCATENATE("R7C",'Mapa final'!#REF!),"")</f>
        <v>#REF!</v>
      </c>
      <c r="AH32" s="41" t="str">
        <f>IF(AND('Mapa final'!$AJ$20="Media",'Mapa final'!$AL$20="Catastrófico"),CONCATENATE("R7C",'Mapa final'!$V$20),"")</f>
        <v/>
      </c>
      <c r="AI32" s="42" t="str">
        <f>IF(AND('Mapa final'!$AJ$21="Media",'Mapa final'!$AL$21="Catastrófico"),CONCATENATE("R7C",'Mapa final'!$V$21),"")</f>
        <v/>
      </c>
      <c r="AJ32" s="42" t="e">
        <f>IF(AND('Mapa final'!#REF!="Media",'Mapa final'!#REF!="Catastrófico"),CONCATENATE("R7C",'Mapa final'!#REF!),"")</f>
        <v>#REF!</v>
      </c>
      <c r="AK32" s="42" t="e">
        <f>IF(AND('Mapa final'!#REF!="Media",'Mapa final'!#REF!="Catastrófico"),CONCATENATE("R7C",'Mapa final'!#REF!),"")</f>
        <v>#REF!</v>
      </c>
      <c r="AL32" s="42" t="e">
        <f>IF(AND('Mapa final'!#REF!="Media",'Mapa final'!#REF!="Catastrófico"),CONCATENATE("R7C",'Mapa final'!#REF!),"")</f>
        <v>#REF!</v>
      </c>
      <c r="AM32" s="43" t="e">
        <f>IF(AND('Mapa final'!#REF!="Media",'Mapa final'!#REF!="Catastrófico"),CONCATENATE("R7C",'Mapa final'!#REF!),"")</f>
        <v>#REF!</v>
      </c>
      <c r="AN32" s="70"/>
      <c r="AO32" s="439"/>
      <c r="AP32" s="440"/>
      <c r="AQ32" s="440"/>
      <c r="AR32" s="440"/>
      <c r="AS32" s="440"/>
      <c r="AT32" s="441"/>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row>
    <row r="33" spans="1:80" ht="15" customHeight="1" x14ac:dyDescent="0.25">
      <c r="A33" s="70"/>
      <c r="B33" s="308"/>
      <c r="C33" s="308"/>
      <c r="D33" s="309"/>
      <c r="E33" s="409"/>
      <c r="F33" s="410"/>
      <c r="G33" s="410"/>
      <c r="H33" s="410"/>
      <c r="I33" s="425"/>
      <c r="J33" s="54" t="str">
        <f>IF(AND('Mapa final'!$AJ$22="Media",'Mapa final'!$AL$22="Leve"),CONCATENATE("R8C",'Mapa final'!$V$22),"")</f>
        <v/>
      </c>
      <c r="K33" s="55" t="str">
        <f>IF(AND('Mapa final'!$AJ$23="Media",'Mapa final'!$AL$23="Leve"),CONCATENATE("R8C",'Mapa final'!$V$23),"")</f>
        <v/>
      </c>
      <c r="L33" s="55" t="str">
        <f>IF(AND('Mapa final'!$AJ$24="Media",'Mapa final'!$AL$24="Leve"),CONCATENATE("R8C",'Mapa final'!$V$24),"")</f>
        <v/>
      </c>
      <c r="M33" s="55" t="str">
        <f>IF(AND('Mapa final'!$AJ$25="Media",'Mapa final'!$AL$25="Leve"),CONCATENATE("R8C",'Mapa final'!$V$25),"")</f>
        <v/>
      </c>
      <c r="N33" s="55" t="e">
        <f>IF(AND('Mapa final'!#REF!="Media",'Mapa final'!#REF!="Leve"),CONCATENATE("R8C",'Mapa final'!#REF!),"")</f>
        <v>#REF!</v>
      </c>
      <c r="O33" s="56" t="e">
        <f>IF(AND('Mapa final'!#REF!="Media",'Mapa final'!#REF!="Leve"),CONCATENATE("R8C",'Mapa final'!#REF!),"")</f>
        <v>#REF!</v>
      </c>
      <c r="P33" s="54" t="str">
        <f>IF(AND('Mapa final'!$AJ$22="Media",'Mapa final'!$AL$22="Menor"),CONCATENATE("R8C",'Mapa final'!$V$22),"")</f>
        <v/>
      </c>
      <c r="Q33" s="55" t="str">
        <f>IF(AND('Mapa final'!$AJ$23="Media",'Mapa final'!$AL$23="Menor"),CONCATENATE("R8C",'Mapa final'!$V$23),"")</f>
        <v/>
      </c>
      <c r="R33" s="55" t="str">
        <f>IF(AND('Mapa final'!$AJ$24="Media",'Mapa final'!$AL$24="Menor"),CONCATENATE("R8C",'Mapa final'!$V$24),"")</f>
        <v/>
      </c>
      <c r="S33" s="55" t="str">
        <f>IF(AND('Mapa final'!$AJ$25="Media",'Mapa final'!$AL$25="Menor"),CONCATENATE("R8C",'Mapa final'!$V$25),"")</f>
        <v/>
      </c>
      <c r="T33" s="55" t="e">
        <f>IF(AND('Mapa final'!#REF!="Media",'Mapa final'!#REF!="Menor"),CONCATENATE("R8C",'Mapa final'!#REF!),"")</f>
        <v>#REF!</v>
      </c>
      <c r="U33" s="56" t="e">
        <f>IF(AND('Mapa final'!#REF!="Media",'Mapa final'!#REF!="Menor"),CONCATENATE("R8C",'Mapa final'!#REF!),"")</f>
        <v>#REF!</v>
      </c>
      <c r="V33" s="54" t="str">
        <f>IF(AND('Mapa final'!$AJ$22="Media",'Mapa final'!$AL$22="Moderado"),CONCATENATE("R8C",'Mapa final'!$V$22),"")</f>
        <v/>
      </c>
      <c r="W33" s="55" t="str">
        <f>IF(AND('Mapa final'!$AJ$23="Media",'Mapa final'!$AL$23="Moderado"),CONCATENATE("R8C",'Mapa final'!$V$23),"")</f>
        <v/>
      </c>
      <c r="X33" s="55" t="str">
        <f>IF(AND('Mapa final'!$AJ$24="Media",'Mapa final'!$AL$24="Moderado"),CONCATENATE("R8C",'Mapa final'!$V$24),"")</f>
        <v/>
      </c>
      <c r="Y33" s="55" t="str">
        <f>IF(AND('Mapa final'!$AJ$25="Media",'Mapa final'!$AL$25="Moderado"),CONCATENATE("R8C",'Mapa final'!$V$25),"")</f>
        <v/>
      </c>
      <c r="Z33" s="55" t="e">
        <f>IF(AND('Mapa final'!#REF!="Media",'Mapa final'!#REF!="Moderado"),CONCATENATE("R8C",'Mapa final'!#REF!),"")</f>
        <v>#REF!</v>
      </c>
      <c r="AA33" s="56" t="e">
        <f>IF(AND('Mapa final'!#REF!="Media",'Mapa final'!#REF!="Moderado"),CONCATENATE("R8C",'Mapa final'!#REF!),"")</f>
        <v>#REF!</v>
      </c>
      <c r="AB33" s="38" t="str">
        <f>IF(AND('Mapa final'!$AJ$22="Media",'Mapa final'!$AL$22="Mayor"),CONCATENATE("R8C",'Mapa final'!$V$22),"")</f>
        <v/>
      </c>
      <c r="AC33" s="39" t="str">
        <f>IF(AND('Mapa final'!$AJ$23="Media",'Mapa final'!$AL$23="Mayor"),CONCATENATE("R8C",'Mapa final'!$V$23),"")</f>
        <v/>
      </c>
      <c r="AD33" s="44" t="str">
        <f>IF(AND('Mapa final'!$AJ$24="Media",'Mapa final'!$AL$24="Mayor"),CONCATENATE("R8C",'Mapa final'!$V$24),"")</f>
        <v/>
      </c>
      <c r="AE33" s="44" t="str">
        <f>IF(AND('Mapa final'!$AJ$25="Media",'Mapa final'!$AL$25="Mayor"),CONCATENATE("R8C",'Mapa final'!$V$25),"")</f>
        <v/>
      </c>
      <c r="AF33" s="44" t="e">
        <f>IF(AND('Mapa final'!#REF!="Media",'Mapa final'!#REF!="Mayor"),CONCATENATE("R8C",'Mapa final'!#REF!),"")</f>
        <v>#REF!</v>
      </c>
      <c r="AG33" s="40" t="e">
        <f>IF(AND('Mapa final'!#REF!="Media",'Mapa final'!#REF!="Mayor"),CONCATENATE("R8C",'Mapa final'!#REF!),"")</f>
        <v>#REF!</v>
      </c>
      <c r="AH33" s="41" t="str">
        <f>IF(AND('Mapa final'!$AJ$22="Media",'Mapa final'!$AL$22="Catastrófico"),CONCATENATE("R8C",'Mapa final'!$V$22),"")</f>
        <v/>
      </c>
      <c r="AI33" s="42" t="str">
        <f>IF(AND('Mapa final'!$AJ$23="Media",'Mapa final'!$AL$23="Catastrófico"),CONCATENATE("R8C",'Mapa final'!$V$23),"")</f>
        <v/>
      </c>
      <c r="AJ33" s="42" t="str">
        <f>IF(AND('Mapa final'!$AJ$24="Media",'Mapa final'!$AL$24="Catastrófico"),CONCATENATE("R8C",'Mapa final'!$V$24),"")</f>
        <v/>
      </c>
      <c r="AK33" s="42" t="str">
        <f>IF(AND('Mapa final'!$AJ$25="Media",'Mapa final'!$AL$25="Catastrófico"),CONCATENATE("R8C",'Mapa final'!$V$25),"")</f>
        <v/>
      </c>
      <c r="AL33" s="42" t="e">
        <f>IF(AND('Mapa final'!#REF!="Media",'Mapa final'!#REF!="Catastrófico"),CONCATENATE("R8C",'Mapa final'!#REF!),"")</f>
        <v>#REF!</v>
      </c>
      <c r="AM33" s="43" t="e">
        <f>IF(AND('Mapa final'!#REF!="Media",'Mapa final'!#REF!="Catastrófico"),CONCATENATE("R8C",'Mapa final'!#REF!),"")</f>
        <v>#REF!</v>
      </c>
      <c r="AN33" s="70"/>
      <c r="AO33" s="439"/>
      <c r="AP33" s="440"/>
      <c r="AQ33" s="440"/>
      <c r="AR33" s="440"/>
      <c r="AS33" s="440"/>
      <c r="AT33" s="441"/>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row>
    <row r="34" spans="1:80" ht="15" customHeight="1" x14ac:dyDescent="0.25">
      <c r="A34" s="70"/>
      <c r="B34" s="308"/>
      <c r="C34" s="308"/>
      <c r="D34" s="309"/>
      <c r="E34" s="409"/>
      <c r="F34" s="410"/>
      <c r="G34" s="410"/>
      <c r="H34" s="410"/>
      <c r="I34" s="425"/>
      <c r="J34" s="54" t="str">
        <f>IF(AND('Mapa final'!$AJ$26="Media",'Mapa final'!$AL$26="Leve"),CONCATENATE("R9C",'Mapa final'!$V$26),"")</f>
        <v/>
      </c>
      <c r="K34" s="55" t="str">
        <f>IF(AND('Mapa final'!$AJ$27="Media",'Mapa final'!$AL$27="Leve"),CONCATENATE("R9C",'Mapa final'!$V$27),"")</f>
        <v/>
      </c>
      <c r="L34" s="55" t="str">
        <f>IF(AND('Mapa final'!$AJ$28="Media",'Mapa final'!$AL$28="Leve"),CONCATENATE("R9C",'Mapa final'!$V$28),"")</f>
        <v/>
      </c>
      <c r="M34" s="55" t="str">
        <f>IF(AND('Mapa final'!$AJ$29="Media",'Mapa final'!$AL$29="Leve"),CONCATENATE("R9C",'Mapa final'!$V$29),"")</f>
        <v/>
      </c>
      <c r="N34" s="55" t="e">
        <f>IF(AND('Mapa final'!#REF!="Media",'Mapa final'!#REF!="Leve"),CONCATENATE("R9C",'Mapa final'!#REF!),"")</f>
        <v>#REF!</v>
      </c>
      <c r="O34" s="56" t="e">
        <f>IF(AND('Mapa final'!#REF!="Media",'Mapa final'!#REF!="Leve"),CONCATENATE("R9C",'Mapa final'!#REF!),"")</f>
        <v>#REF!</v>
      </c>
      <c r="P34" s="54" t="str">
        <f>IF(AND('Mapa final'!$AJ$26="Media",'Mapa final'!$AL$26="Menor"),CONCATENATE("R9C",'Mapa final'!$V$26),"")</f>
        <v/>
      </c>
      <c r="Q34" s="55" t="str">
        <f>IF(AND('Mapa final'!$AJ$27="Media",'Mapa final'!$AL$27="Menor"),CONCATENATE("R9C",'Mapa final'!$V$27),"")</f>
        <v/>
      </c>
      <c r="R34" s="55" t="str">
        <f>IF(AND('Mapa final'!$AJ$28="Media",'Mapa final'!$AL$28="Menor"),CONCATENATE("R9C",'Mapa final'!$V$28),"")</f>
        <v/>
      </c>
      <c r="S34" s="55" t="str">
        <f>IF(AND('Mapa final'!$AJ$29="Media",'Mapa final'!$AL$29="Menor"),CONCATENATE("R9C",'Mapa final'!$V$29),"")</f>
        <v/>
      </c>
      <c r="T34" s="55" t="e">
        <f>IF(AND('Mapa final'!#REF!="Media",'Mapa final'!#REF!="Menor"),CONCATENATE("R9C",'Mapa final'!#REF!),"")</f>
        <v>#REF!</v>
      </c>
      <c r="U34" s="56" t="e">
        <f>IF(AND('Mapa final'!#REF!="Media",'Mapa final'!#REF!="Menor"),CONCATENATE("R9C",'Mapa final'!#REF!),"")</f>
        <v>#REF!</v>
      </c>
      <c r="V34" s="54" t="str">
        <f>IF(AND('Mapa final'!$AJ$26="Media",'Mapa final'!$AL$26="Moderado"),CONCATENATE("R9C",'Mapa final'!$V$26),"")</f>
        <v/>
      </c>
      <c r="W34" s="55" t="str">
        <f>IF(AND('Mapa final'!$AJ$27="Media",'Mapa final'!$AL$27="Moderado"),CONCATENATE("R9C",'Mapa final'!$V$27),"")</f>
        <v/>
      </c>
      <c r="X34" s="55" t="str">
        <f>IF(AND('Mapa final'!$AJ$28="Media",'Mapa final'!$AL$28="Moderado"),CONCATENATE("R9C",'Mapa final'!$V$28),"")</f>
        <v/>
      </c>
      <c r="Y34" s="55" t="str">
        <f>IF(AND('Mapa final'!$AJ$29="Media",'Mapa final'!$AL$29="Moderado"),CONCATENATE("R9C",'Mapa final'!$V$29),"")</f>
        <v/>
      </c>
      <c r="Z34" s="55" t="e">
        <f>IF(AND('Mapa final'!#REF!="Media",'Mapa final'!#REF!="Moderado"),CONCATENATE("R9C",'Mapa final'!#REF!),"")</f>
        <v>#REF!</v>
      </c>
      <c r="AA34" s="56" t="e">
        <f>IF(AND('Mapa final'!#REF!="Media",'Mapa final'!#REF!="Moderado"),CONCATENATE("R9C",'Mapa final'!#REF!),"")</f>
        <v>#REF!</v>
      </c>
      <c r="AB34" s="38" t="str">
        <f>IF(AND('Mapa final'!$AJ$26="Media",'Mapa final'!$AL$26="Mayor"),CONCATENATE("R9C",'Mapa final'!$V$26),"")</f>
        <v/>
      </c>
      <c r="AC34" s="39" t="str">
        <f>IF(AND('Mapa final'!$AJ$27="Media",'Mapa final'!$AL$27="Mayor"),CONCATENATE("R9C",'Mapa final'!$V$27),"")</f>
        <v/>
      </c>
      <c r="AD34" s="44" t="str">
        <f>IF(AND('Mapa final'!$AJ$28="Media",'Mapa final'!$AL$28="Mayor"),CONCATENATE("R9C",'Mapa final'!$V$28),"")</f>
        <v/>
      </c>
      <c r="AE34" s="44" t="str">
        <f>IF(AND('Mapa final'!$AJ$29="Media",'Mapa final'!$AL$29="Mayor"),CONCATENATE("R9C",'Mapa final'!$V$29),"")</f>
        <v/>
      </c>
      <c r="AF34" s="44" t="e">
        <f>IF(AND('Mapa final'!#REF!="Media",'Mapa final'!#REF!="Mayor"),CONCATENATE("R9C",'Mapa final'!#REF!),"")</f>
        <v>#REF!</v>
      </c>
      <c r="AG34" s="40" t="e">
        <f>IF(AND('Mapa final'!#REF!="Media",'Mapa final'!#REF!="Mayor"),CONCATENATE("R9C",'Mapa final'!#REF!),"")</f>
        <v>#REF!</v>
      </c>
      <c r="AH34" s="41" t="str">
        <f>IF(AND('Mapa final'!$AJ$26="Media",'Mapa final'!$AL$26="Catastrófico"),CONCATENATE("R9C",'Mapa final'!$V$26),"")</f>
        <v/>
      </c>
      <c r="AI34" s="42" t="str">
        <f>IF(AND('Mapa final'!$AJ$27="Media",'Mapa final'!$AL$27="Catastrófico"),CONCATENATE("R9C",'Mapa final'!$V$27),"")</f>
        <v/>
      </c>
      <c r="AJ34" s="42" t="str">
        <f>IF(AND('Mapa final'!$AJ$28="Media",'Mapa final'!$AL$28="Catastrófico"),CONCATENATE("R9C",'Mapa final'!$V$28),"")</f>
        <v/>
      </c>
      <c r="AK34" s="42" t="str">
        <f>IF(AND('Mapa final'!$AJ$29="Media",'Mapa final'!$AL$29="Catastrófico"),CONCATENATE("R9C",'Mapa final'!$V$29),"")</f>
        <v/>
      </c>
      <c r="AL34" s="42" t="e">
        <f>IF(AND('Mapa final'!#REF!="Media",'Mapa final'!#REF!="Catastrófico"),CONCATENATE("R9C",'Mapa final'!#REF!),"")</f>
        <v>#REF!</v>
      </c>
      <c r="AM34" s="43" t="e">
        <f>IF(AND('Mapa final'!#REF!="Media",'Mapa final'!#REF!="Catastrófico"),CONCATENATE("R9C",'Mapa final'!#REF!),"")</f>
        <v>#REF!</v>
      </c>
      <c r="AN34" s="70"/>
      <c r="AO34" s="439"/>
      <c r="AP34" s="440"/>
      <c r="AQ34" s="440"/>
      <c r="AR34" s="440"/>
      <c r="AS34" s="440"/>
      <c r="AT34" s="441"/>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row>
    <row r="35" spans="1:80" ht="15.75" customHeight="1" thickBot="1" x14ac:dyDescent="0.3">
      <c r="A35" s="70"/>
      <c r="B35" s="308"/>
      <c r="C35" s="308"/>
      <c r="D35" s="309"/>
      <c r="E35" s="411"/>
      <c r="F35" s="412"/>
      <c r="G35" s="412"/>
      <c r="H35" s="412"/>
      <c r="I35" s="426"/>
      <c r="J35" s="54" t="e">
        <f>IF(AND('Mapa final'!#REF!="Media",'Mapa final'!#REF!="Leve"),CONCATENATE("R10C",'Mapa final'!#REF!),"")</f>
        <v>#REF!</v>
      </c>
      <c r="K35" s="55" t="e">
        <f>IF(AND('Mapa final'!#REF!="Media",'Mapa final'!#REF!="Leve"),CONCATENATE("R10C",'Mapa final'!#REF!),"")</f>
        <v>#REF!</v>
      </c>
      <c r="L35" s="55" t="e">
        <f>IF(AND('Mapa final'!#REF!="Media",'Mapa final'!#REF!="Leve"),CONCATENATE("R10C",'Mapa final'!#REF!),"")</f>
        <v>#REF!</v>
      </c>
      <c r="M35" s="55" t="e">
        <f>IF(AND('Mapa final'!#REF!="Media",'Mapa final'!#REF!="Leve"),CONCATENATE("R10C",'Mapa final'!#REF!),"")</f>
        <v>#REF!</v>
      </c>
      <c r="N35" s="55" t="e">
        <f>IF(AND('Mapa final'!#REF!="Media",'Mapa final'!#REF!="Leve"),CONCATENATE("R10C",'Mapa final'!#REF!),"")</f>
        <v>#REF!</v>
      </c>
      <c r="O35" s="56" t="e">
        <f>IF(AND('Mapa final'!#REF!="Media",'Mapa final'!#REF!="Leve"),CONCATENATE("R10C",'Mapa final'!#REF!),"")</f>
        <v>#REF!</v>
      </c>
      <c r="P35" s="54" t="e">
        <f>IF(AND('Mapa final'!#REF!="Media",'Mapa final'!#REF!="Menor"),CONCATENATE("R10C",'Mapa final'!#REF!),"")</f>
        <v>#REF!</v>
      </c>
      <c r="Q35" s="55" t="e">
        <f>IF(AND('Mapa final'!#REF!="Media",'Mapa final'!#REF!="Menor"),CONCATENATE("R10C",'Mapa final'!#REF!),"")</f>
        <v>#REF!</v>
      </c>
      <c r="R35" s="55" t="e">
        <f>IF(AND('Mapa final'!#REF!="Media",'Mapa final'!#REF!="Menor"),CONCATENATE("R10C",'Mapa final'!#REF!),"")</f>
        <v>#REF!</v>
      </c>
      <c r="S35" s="55" t="e">
        <f>IF(AND('Mapa final'!#REF!="Media",'Mapa final'!#REF!="Menor"),CONCATENATE("R10C",'Mapa final'!#REF!),"")</f>
        <v>#REF!</v>
      </c>
      <c r="T35" s="55" t="e">
        <f>IF(AND('Mapa final'!#REF!="Media",'Mapa final'!#REF!="Menor"),CONCATENATE("R10C",'Mapa final'!#REF!),"")</f>
        <v>#REF!</v>
      </c>
      <c r="U35" s="56" t="e">
        <f>IF(AND('Mapa final'!#REF!="Media",'Mapa final'!#REF!="Menor"),CONCATENATE("R10C",'Mapa final'!#REF!),"")</f>
        <v>#REF!</v>
      </c>
      <c r="V35" s="54" t="e">
        <f>IF(AND('Mapa final'!#REF!="Media",'Mapa final'!#REF!="Moderado"),CONCATENATE("R10C",'Mapa final'!#REF!),"")</f>
        <v>#REF!</v>
      </c>
      <c r="W35" s="55" t="e">
        <f>IF(AND('Mapa final'!#REF!="Media",'Mapa final'!#REF!="Moderado"),CONCATENATE("R10C",'Mapa final'!#REF!),"")</f>
        <v>#REF!</v>
      </c>
      <c r="X35" s="55" t="e">
        <f>IF(AND('Mapa final'!#REF!="Media",'Mapa final'!#REF!="Moderado"),CONCATENATE("R10C",'Mapa final'!#REF!),"")</f>
        <v>#REF!</v>
      </c>
      <c r="Y35" s="55" t="e">
        <f>IF(AND('Mapa final'!#REF!="Media",'Mapa final'!#REF!="Moderado"),CONCATENATE("R10C",'Mapa final'!#REF!),"")</f>
        <v>#REF!</v>
      </c>
      <c r="Z35" s="55" t="e">
        <f>IF(AND('Mapa final'!#REF!="Media",'Mapa final'!#REF!="Moderado"),CONCATENATE("R10C",'Mapa final'!#REF!),"")</f>
        <v>#REF!</v>
      </c>
      <c r="AA35" s="56" t="e">
        <f>IF(AND('Mapa final'!#REF!="Media",'Mapa final'!#REF!="Moderado"),CONCATENATE("R10C",'Mapa final'!#REF!),"")</f>
        <v>#REF!</v>
      </c>
      <c r="AB35" s="45" t="e">
        <f>IF(AND('Mapa final'!#REF!="Media",'Mapa final'!#REF!="Mayor"),CONCATENATE("R10C",'Mapa final'!#REF!),"")</f>
        <v>#REF!</v>
      </c>
      <c r="AC35" s="46" t="e">
        <f>IF(AND('Mapa final'!#REF!="Media",'Mapa final'!#REF!="Mayor"),CONCATENATE("R10C",'Mapa final'!#REF!),"")</f>
        <v>#REF!</v>
      </c>
      <c r="AD35" s="46" t="e">
        <f>IF(AND('Mapa final'!#REF!="Media",'Mapa final'!#REF!="Mayor"),CONCATENATE("R10C",'Mapa final'!#REF!),"")</f>
        <v>#REF!</v>
      </c>
      <c r="AE35" s="46" t="e">
        <f>IF(AND('Mapa final'!#REF!="Media",'Mapa final'!#REF!="Mayor"),CONCATENATE("R10C",'Mapa final'!#REF!),"")</f>
        <v>#REF!</v>
      </c>
      <c r="AF35" s="46" t="e">
        <f>IF(AND('Mapa final'!#REF!="Media",'Mapa final'!#REF!="Mayor"),CONCATENATE("R10C",'Mapa final'!#REF!),"")</f>
        <v>#REF!</v>
      </c>
      <c r="AG35" s="47" t="e">
        <f>IF(AND('Mapa final'!#REF!="Media",'Mapa final'!#REF!="Mayor"),CONCATENATE("R10C",'Mapa final'!#REF!),"")</f>
        <v>#REF!</v>
      </c>
      <c r="AH35" s="48" t="e">
        <f>IF(AND('Mapa final'!#REF!="Media",'Mapa final'!#REF!="Catastrófico"),CONCATENATE("R10C",'Mapa final'!#REF!),"")</f>
        <v>#REF!</v>
      </c>
      <c r="AI35" s="49" t="e">
        <f>IF(AND('Mapa final'!#REF!="Media",'Mapa final'!#REF!="Catastrófico"),CONCATENATE("R10C",'Mapa final'!#REF!),"")</f>
        <v>#REF!</v>
      </c>
      <c r="AJ35" s="49" t="e">
        <f>IF(AND('Mapa final'!#REF!="Media",'Mapa final'!#REF!="Catastrófico"),CONCATENATE("R10C",'Mapa final'!#REF!),"")</f>
        <v>#REF!</v>
      </c>
      <c r="AK35" s="49" t="e">
        <f>IF(AND('Mapa final'!#REF!="Media",'Mapa final'!#REF!="Catastrófico"),CONCATENATE("R10C",'Mapa final'!#REF!),"")</f>
        <v>#REF!</v>
      </c>
      <c r="AL35" s="49" t="e">
        <f>IF(AND('Mapa final'!#REF!="Media",'Mapa final'!#REF!="Catastrófico"),CONCATENATE("R10C",'Mapa final'!#REF!),"")</f>
        <v>#REF!</v>
      </c>
      <c r="AM35" s="50" t="e">
        <f>IF(AND('Mapa final'!#REF!="Media",'Mapa final'!#REF!="Catastrófico"),CONCATENATE("R10C",'Mapa final'!#REF!),"")</f>
        <v>#REF!</v>
      </c>
      <c r="AN35" s="70"/>
      <c r="AO35" s="442"/>
      <c r="AP35" s="443"/>
      <c r="AQ35" s="443"/>
      <c r="AR35" s="443"/>
      <c r="AS35" s="443"/>
      <c r="AT35" s="444"/>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row>
    <row r="36" spans="1:80" ht="15" customHeight="1" x14ac:dyDescent="0.25">
      <c r="A36" s="70"/>
      <c r="B36" s="308"/>
      <c r="C36" s="308"/>
      <c r="D36" s="309"/>
      <c r="E36" s="405" t="s">
        <v>281</v>
      </c>
      <c r="F36" s="406"/>
      <c r="G36" s="406"/>
      <c r="H36" s="406"/>
      <c r="I36" s="406"/>
      <c r="J36" s="60" t="str">
        <f>IF(AND('Mapa final'!$AJ$7="Baja",'Mapa final'!$AL$7="Leve"),CONCATENATE("R1C",'Mapa final'!$V$7),"")</f>
        <v/>
      </c>
      <c r="K36" s="61" t="e">
        <f>IF(AND('Mapa final'!#REF!="Baja",'Mapa final'!#REF!="Leve"),CONCATENATE("R1C",'Mapa final'!#REF!),"")</f>
        <v>#REF!</v>
      </c>
      <c r="L36" s="61" t="e">
        <f>IF(AND('Mapa final'!#REF!="Baja",'Mapa final'!#REF!="Leve"),CONCATENATE("R1C",'Mapa final'!#REF!),"")</f>
        <v>#REF!</v>
      </c>
      <c r="M36" s="61" t="e">
        <f>IF(AND('Mapa final'!#REF!="Baja",'Mapa final'!#REF!="Leve"),CONCATENATE("R1C",'Mapa final'!#REF!),"")</f>
        <v>#REF!</v>
      </c>
      <c r="N36" s="61" t="e">
        <f>IF(AND('Mapa final'!#REF!="Baja",'Mapa final'!#REF!="Leve"),CONCATENATE("R1C",'Mapa final'!#REF!),"")</f>
        <v>#REF!</v>
      </c>
      <c r="O36" s="62" t="e">
        <f>IF(AND('Mapa final'!#REF!="Baja",'Mapa final'!#REF!="Leve"),CONCATENATE("R1C",'Mapa final'!#REF!),"")</f>
        <v>#REF!</v>
      </c>
      <c r="P36" s="51" t="str">
        <f>IF(AND('Mapa final'!$AJ$7="Baja",'Mapa final'!$AL$7="Menor"),CONCATENATE("R1C",'Mapa final'!$V$7),"")</f>
        <v/>
      </c>
      <c r="Q36" s="52" t="e">
        <f>IF(AND('Mapa final'!#REF!="Baja",'Mapa final'!#REF!="Menor"),CONCATENATE("R1C",'Mapa final'!#REF!),"")</f>
        <v>#REF!</v>
      </c>
      <c r="R36" s="52" t="e">
        <f>IF(AND('Mapa final'!#REF!="Baja",'Mapa final'!#REF!="Menor"),CONCATENATE("R1C",'Mapa final'!#REF!),"")</f>
        <v>#REF!</v>
      </c>
      <c r="S36" s="52" t="e">
        <f>IF(AND('Mapa final'!#REF!="Baja",'Mapa final'!#REF!="Menor"),CONCATENATE("R1C",'Mapa final'!#REF!),"")</f>
        <v>#REF!</v>
      </c>
      <c r="T36" s="52" t="e">
        <f>IF(AND('Mapa final'!#REF!="Baja",'Mapa final'!#REF!="Menor"),CONCATENATE("R1C",'Mapa final'!#REF!),"")</f>
        <v>#REF!</v>
      </c>
      <c r="U36" s="53" t="e">
        <f>IF(AND('Mapa final'!#REF!="Baja",'Mapa final'!#REF!="Menor"),CONCATENATE("R1C",'Mapa final'!#REF!),"")</f>
        <v>#REF!</v>
      </c>
      <c r="V36" s="51" t="str">
        <f>IF(AND('Mapa final'!$AJ$7="Baja",'Mapa final'!$AL$7="Moderado"),CONCATENATE("R1C",'Mapa final'!$V$7),"")</f>
        <v>R1C1</v>
      </c>
      <c r="W36" s="52" t="e">
        <f>IF(AND('Mapa final'!#REF!="Baja",'Mapa final'!#REF!="Moderado"),CONCATENATE("R1C",'Mapa final'!#REF!),"")</f>
        <v>#REF!</v>
      </c>
      <c r="X36" s="52" t="e">
        <f>IF(AND('Mapa final'!#REF!="Baja",'Mapa final'!#REF!="Moderado"),CONCATENATE("R1C",'Mapa final'!#REF!),"")</f>
        <v>#REF!</v>
      </c>
      <c r="Y36" s="52" t="e">
        <f>IF(AND('Mapa final'!#REF!="Baja",'Mapa final'!#REF!="Moderado"),CONCATENATE("R1C",'Mapa final'!#REF!),"")</f>
        <v>#REF!</v>
      </c>
      <c r="Z36" s="52" t="e">
        <f>IF(AND('Mapa final'!#REF!="Baja",'Mapa final'!#REF!="Moderado"),CONCATENATE("R1C",'Mapa final'!#REF!),"")</f>
        <v>#REF!</v>
      </c>
      <c r="AA36" s="53" t="e">
        <f>IF(AND('Mapa final'!#REF!="Baja",'Mapa final'!#REF!="Moderado"),CONCATENATE("R1C",'Mapa final'!#REF!),"")</f>
        <v>#REF!</v>
      </c>
      <c r="AB36" s="32" t="str">
        <f>IF(AND('Mapa final'!$AJ$7="Baja",'Mapa final'!$AL$7="Mayor"),CONCATENATE("R1C",'Mapa final'!$V$7),"")</f>
        <v/>
      </c>
      <c r="AC36" s="33" t="e">
        <f>IF(AND('Mapa final'!#REF!="Baja",'Mapa final'!#REF!="Mayor"),CONCATENATE("R1C",'Mapa final'!#REF!),"")</f>
        <v>#REF!</v>
      </c>
      <c r="AD36" s="33" t="e">
        <f>IF(AND('Mapa final'!#REF!="Baja",'Mapa final'!#REF!="Mayor"),CONCATENATE("R1C",'Mapa final'!#REF!),"")</f>
        <v>#REF!</v>
      </c>
      <c r="AE36" s="33" t="e">
        <f>IF(AND('Mapa final'!#REF!="Baja",'Mapa final'!#REF!="Mayor"),CONCATENATE("R1C",'Mapa final'!#REF!),"")</f>
        <v>#REF!</v>
      </c>
      <c r="AF36" s="33" t="e">
        <f>IF(AND('Mapa final'!#REF!="Baja",'Mapa final'!#REF!="Mayor"),CONCATENATE("R1C",'Mapa final'!#REF!),"")</f>
        <v>#REF!</v>
      </c>
      <c r="AG36" s="34" t="e">
        <f>IF(AND('Mapa final'!#REF!="Baja",'Mapa final'!#REF!="Mayor"),CONCATENATE("R1C",'Mapa final'!#REF!),"")</f>
        <v>#REF!</v>
      </c>
      <c r="AH36" s="35" t="str">
        <f>IF(AND('Mapa final'!$AJ$7="Baja",'Mapa final'!$AL$7="Catastrófico"),CONCATENATE("R1C",'Mapa final'!$V$7),"")</f>
        <v/>
      </c>
      <c r="AI36" s="36" t="e">
        <f>IF(AND('Mapa final'!#REF!="Baja",'Mapa final'!#REF!="Catastrófico"),CONCATENATE("R1C",'Mapa final'!#REF!),"")</f>
        <v>#REF!</v>
      </c>
      <c r="AJ36" s="36" t="e">
        <f>IF(AND('Mapa final'!#REF!="Baja",'Mapa final'!#REF!="Catastrófico"),CONCATENATE("R1C",'Mapa final'!#REF!),"")</f>
        <v>#REF!</v>
      </c>
      <c r="AK36" s="36" t="e">
        <f>IF(AND('Mapa final'!#REF!="Baja",'Mapa final'!#REF!="Catastrófico"),CONCATENATE("R1C",'Mapa final'!#REF!),"")</f>
        <v>#REF!</v>
      </c>
      <c r="AL36" s="36" t="e">
        <f>IF(AND('Mapa final'!#REF!="Baja",'Mapa final'!#REF!="Catastrófico"),CONCATENATE("R1C",'Mapa final'!#REF!),"")</f>
        <v>#REF!</v>
      </c>
      <c r="AM36" s="37" t="e">
        <f>IF(AND('Mapa final'!#REF!="Baja",'Mapa final'!#REF!="Catastrófico"),CONCATENATE("R1C",'Mapa final'!#REF!),"")</f>
        <v>#REF!</v>
      </c>
      <c r="AN36" s="70"/>
      <c r="AO36" s="427" t="s">
        <v>282</v>
      </c>
      <c r="AP36" s="428"/>
      <c r="AQ36" s="428"/>
      <c r="AR36" s="428"/>
      <c r="AS36" s="428"/>
      <c r="AT36" s="429"/>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row>
    <row r="37" spans="1:80" ht="15" customHeight="1" x14ac:dyDescent="0.25">
      <c r="A37" s="70"/>
      <c r="B37" s="308"/>
      <c r="C37" s="308"/>
      <c r="D37" s="309"/>
      <c r="E37" s="407"/>
      <c r="F37" s="408"/>
      <c r="G37" s="408"/>
      <c r="H37" s="408"/>
      <c r="I37" s="408"/>
      <c r="J37" s="63" t="str">
        <f>IF(AND('Mapa final'!$AJ$8="Baja",'Mapa final'!$AL$8="Leve"),CONCATENATE("R2C",'Mapa final'!$V$8),"")</f>
        <v/>
      </c>
      <c r="K37" s="64" t="str">
        <f>IF(AND('Mapa final'!$AJ$9="Baja",'Mapa final'!$AL$9="Leve"),CONCATENATE("R2C",'Mapa final'!$V$9),"")</f>
        <v/>
      </c>
      <c r="L37" s="64" t="e">
        <f>IF(AND('Mapa final'!#REF!="Baja",'Mapa final'!#REF!="Leve"),CONCATENATE("R2C",'Mapa final'!#REF!),"")</f>
        <v>#REF!</v>
      </c>
      <c r="M37" s="64" t="e">
        <f>IF(AND('Mapa final'!#REF!="Baja",'Mapa final'!#REF!="Leve"),CONCATENATE("R2C",'Mapa final'!#REF!),"")</f>
        <v>#REF!</v>
      </c>
      <c r="N37" s="64" t="e">
        <f>IF(AND('Mapa final'!#REF!="Baja",'Mapa final'!#REF!="Leve"),CONCATENATE("R2C",'Mapa final'!#REF!),"")</f>
        <v>#REF!</v>
      </c>
      <c r="O37" s="65" t="e">
        <f>IF(AND('Mapa final'!#REF!="Baja",'Mapa final'!#REF!="Leve"),CONCATENATE("R2C",'Mapa final'!#REF!),"")</f>
        <v>#REF!</v>
      </c>
      <c r="P37" s="54" t="str">
        <f>IF(AND('Mapa final'!$AJ$8="Baja",'Mapa final'!$AL$8="Menor"),CONCATENATE("R2C",'Mapa final'!$V$8),"")</f>
        <v/>
      </c>
      <c r="Q37" s="55" t="str">
        <f>IF(AND('Mapa final'!$AJ$9="Baja",'Mapa final'!$AL$9="Menor"),CONCATENATE("R2C",'Mapa final'!$V$9),"")</f>
        <v/>
      </c>
      <c r="R37" s="55" t="e">
        <f>IF(AND('Mapa final'!#REF!="Baja",'Mapa final'!#REF!="Menor"),CONCATENATE("R2C",'Mapa final'!#REF!),"")</f>
        <v>#REF!</v>
      </c>
      <c r="S37" s="55" t="e">
        <f>IF(AND('Mapa final'!#REF!="Baja",'Mapa final'!#REF!="Menor"),CONCATENATE("R2C",'Mapa final'!#REF!),"")</f>
        <v>#REF!</v>
      </c>
      <c r="T37" s="55" t="e">
        <f>IF(AND('Mapa final'!#REF!="Baja",'Mapa final'!#REF!="Menor"),CONCATENATE("R2C",'Mapa final'!#REF!),"")</f>
        <v>#REF!</v>
      </c>
      <c r="U37" s="56" t="e">
        <f>IF(AND('Mapa final'!#REF!="Baja",'Mapa final'!#REF!="Menor"),CONCATENATE("R2C",'Mapa final'!#REF!),"")</f>
        <v>#REF!</v>
      </c>
      <c r="V37" s="54" t="str">
        <f>IF(AND('Mapa final'!$AJ$8="Baja",'Mapa final'!$AL$8="Moderado"),CONCATENATE("R2C",'Mapa final'!$V$8),"")</f>
        <v/>
      </c>
      <c r="W37" s="55" t="str">
        <f>IF(AND('Mapa final'!$AJ$9="Baja",'Mapa final'!$AL$9="Moderado"),CONCATENATE("R2C",'Mapa final'!$V$9),"")</f>
        <v/>
      </c>
      <c r="X37" s="55" t="e">
        <f>IF(AND('Mapa final'!#REF!="Baja",'Mapa final'!#REF!="Moderado"),CONCATENATE("R2C",'Mapa final'!#REF!),"")</f>
        <v>#REF!</v>
      </c>
      <c r="Y37" s="55" t="e">
        <f>IF(AND('Mapa final'!#REF!="Baja",'Mapa final'!#REF!="Moderado"),CONCATENATE("R2C",'Mapa final'!#REF!),"")</f>
        <v>#REF!</v>
      </c>
      <c r="Z37" s="55" t="e">
        <f>IF(AND('Mapa final'!#REF!="Baja",'Mapa final'!#REF!="Moderado"),CONCATENATE("R2C",'Mapa final'!#REF!),"")</f>
        <v>#REF!</v>
      </c>
      <c r="AA37" s="56" t="e">
        <f>IF(AND('Mapa final'!#REF!="Baja",'Mapa final'!#REF!="Moderado"),CONCATENATE("R2C",'Mapa final'!#REF!),"")</f>
        <v>#REF!</v>
      </c>
      <c r="AB37" s="38" t="str">
        <f>IF(AND('Mapa final'!$AJ$8="Baja",'Mapa final'!$AL$8="Mayor"),CONCATENATE("R2C",'Mapa final'!$V$8),"")</f>
        <v/>
      </c>
      <c r="AC37" s="39" t="str">
        <f>IF(AND('Mapa final'!$AJ$9="Baja",'Mapa final'!$AL$9="Mayor"),CONCATENATE("R2C",'Mapa final'!$V$9),"")</f>
        <v/>
      </c>
      <c r="AD37" s="39" t="e">
        <f>IF(AND('Mapa final'!#REF!="Baja",'Mapa final'!#REF!="Mayor"),CONCATENATE("R2C",'Mapa final'!#REF!),"")</f>
        <v>#REF!</v>
      </c>
      <c r="AE37" s="39" t="e">
        <f>IF(AND('Mapa final'!#REF!="Baja",'Mapa final'!#REF!="Mayor"),CONCATENATE("R2C",'Mapa final'!#REF!),"")</f>
        <v>#REF!</v>
      </c>
      <c r="AF37" s="39" t="e">
        <f>IF(AND('Mapa final'!#REF!="Baja",'Mapa final'!#REF!="Mayor"),CONCATENATE("R2C",'Mapa final'!#REF!),"")</f>
        <v>#REF!</v>
      </c>
      <c r="AG37" s="40" t="e">
        <f>IF(AND('Mapa final'!#REF!="Baja",'Mapa final'!#REF!="Mayor"),CONCATENATE("R2C",'Mapa final'!#REF!),"")</f>
        <v>#REF!</v>
      </c>
      <c r="AH37" s="41" t="str">
        <f>IF(AND('Mapa final'!$AJ$8="Baja",'Mapa final'!$AL$8="Catastrófico"),CONCATENATE("R2C",'Mapa final'!$V$8),"")</f>
        <v>R2C1</v>
      </c>
      <c r="AI37" s="42" t="str">
        <f>IF(AND('Mapa final'!$AJ$9="Baja",'Mapa final'!$AL$9="Catastrófico"),CONCATENATE("R2C",'Mapa final'!$V$9),"")</f>
        <v>R2C2</v>
      </c>
      <c r="AJ37" s="42" t="e">
        <f>IF(AND('Mapa final'!#REF!="Baja",'Mapa final'!#REF!="Catastrófico"),CONCATENATE("R2C",'Mapa final'!#REF!),"")</f>
        <v>#REF!</v>
      </c>
      <c r="AK37" s="42" t="e">
        <f>IF(AND('Mapa final'!#REF!="Baja",'Mapa final'!#REF!="Catastrófico"),CONCATENATE("R2C",'Mapa final'!#REF!),"")</f>
        <v>#REF!</v>
      </c>
      <c r="AL37" s="42" t="e">
        <f>IF(AND('Mapa final'!#REF!="Baja",'Mapa final'!#REF!="Catastrófico"),CONCATENATE("R2C",'Mapa final'!#REF!),"")</f>
        <v>#REF!</v>
      </c>
      <c r="AM37" s="43" t="e">
        <f>IF(AND('Mapa final'!#REF!="Baja",'Mapa final'!#REF!="Catastrófico"),CONCATENATE("R2C",'Mapa final'!#REF!),"")</f>
        <v>#REF!</v>
      </c>
      <c r="AN37" s="70"/>
      <c r="AO37" s="430"/>
      <c r="AP37" s="431"/>
      <c r="AQ37" s="431"/>
      <c r="AR37" s="431"/>
      <c r="AS37" s="431"/>
      <c r="AT37" s="432"/>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row>
    <row r="38" spans="1:80" ht="15" customHeight="1" x14ac:dyDescent="0.25">
      <c r="A38" s="70"/>
      <c r="B38" s="308"/>
      <c r="C38" s="308"/>
      <c r="D38" s="309"/>
      <c r="E38" s="409"/>
      <c r="F38" s="410"/>
      <c r="G38" s="410"/>
      <c r="H38" s="410"/>
      <c r="I38" s="408"/>
      <c r="J38" s="63" t="str">
        <f>IF(AND('Mapa final'!$AJ$10="Baja",'Mapa final'!$AL$10="Leve"),CONCATENATE("R3C",'Mapa final'!$V$10),"")</f>
        <v/>
      </c>
      <c r="K38" s="64" t="str">
        <f>IF(AND('Mapa final'!$AJ$11="Baja",'Mapa final'!$AL$11="Leve"),CONCATENATE("R3C",'Mapa final'!$V$11),"")</f>
        <v/>
      </c>
      <c r="L38" s="64" t="e">
        <f>IF(AND('Mapa final'!#REF!="Baja",'Mapa final'!#REF!="Leve"),CONCATENATE("R3C",'Mapa final'!#REF!),"")</f>
        <v>#REF!</v>
      </c>
      <c r="M38" s="64" t="e">
        <f>IF(AND('Mapa final'!#REF!="Baja",'Mapa final'!#REF!="Leve"),CONCATENATE("R3C",'Mapa final'!#REF!),"")</f>
        <v>#REF!</v>
      </c>
      <c r="N38" s="64" t="e">
        <f>IF(AND('Mapa final'!#REF!="Baja",'Mapa final'!#REF!="Leve"),CONCATENATE("R3C",'Mapa final'!#REF!),"")</f>
        <v>#REF!</v>
      </c>
      <c r="O38" s="65" t="e">
        <f>IF(AND('Mapa final'!#REF!="Baja",'Mapa final'!#REF!="Leve"),CONCATENATE("R3C",'Mapa final'!#REF!),"")</f>
        <v>#REF!</v>
      </c>
      <c r="P38" s="54" t="str">
        <f>IF(AND('Mapa final'!$AJ$10="Baja",'Mapa final'!$AL$10="Menor"),CONCATENATE("R3C",'Mapa final'!$V$10),"")</f>
        <v/>
      </c>
      <c r="Q38" s="55" t="str">
        <f>IF(AND('Mapa final'!$AJ$11="Baja",'Mapa final'!$AL$11="Menor"),CONCATENATE("R3C",'Mapa final'!$V$11),"")</f>
        <v/>
      </c>
      <c r="R38" s="55" t="e">
        <f>IF(AND('Mapa final'!#REF!="Baja",'Mapa final'!#REF!="Menor"),CONCATENATE("R3C",'Mapa final'!#REF!),"")</f>
        <v>#REF!</v>
      </c>
      <c r="S38" s="55" t="e">
        <f>IF(AND('Mapa final'!#REF!="Baja",'Mapa final'!#REF!="Menor"),CONCATENATE("R3C",'Mapa final'!#REF!),"")</f>
        <v>#REF!</v>
      </c>
      <c r="T38" s="55" t="e">
        <f>IF(AND('Mapa final'!#REF!="Baja",'Mapa final'!#REF!="Menor"),CONCATENATE("R3C",'Mapa final'!#REF!),"")</f>
        <v>#REF!</v>
      </c>
      <c r="U38" s="56" t="e">
        <f>IF(AND('Mapa final'!#REF!="Baja",'Mapa final'!#REF!="Menor"),CONCATENATE("R3C",'Mapa final'!#REF!),"")</f>
        <v>#REF!</v>
      </c>
      <c r="V38" s="54" t="str">
        <f>IF(AND('Mapa final'!$AJ$10="Baja",'Mapa final'!$AL$10="Moderado"),CONCATENATE("R3C",'Mapa final'!$V$10),"")</f>
        <v>R3C1</v>
      </c>
      <c r="W38" s="55" t="str">
        <f>IF(AND('Mapa final'!$AJ$11="Baja",'Mapa final'!$AL$11="Moderado"),CONCATENATE("R3C",'Mapa final'!$V$11),"")</f>
        <v>R3C2</v>
      </c>
      <c r="X38" s="55" t="e">
        <f>IF(AND('Mapa final'!#REF!="Baja",'Mapa final'!#REF!="Moderado"),CONCATENATE("R3C",'Mapa final'!#REF!),"")</f>
        <v>#REF!</v>
      </c>
      <c r="Y38" s="55" t="e">
        <f>IF(AND('Mapa final'!#REF!="Baja",'Mapa final'!#REF!="Moderado"),CONCATENATE("R3C",'Mapa final'!#REF!),"")</f>
        <v>#REF!</v>
      </c>
      <c r="Z38" s="55" t="e">
        <f>IF(AND('Mapa final'!#REF!="Baja",'Mapa final'!#REF!="Moderado"),CONCATENATE("R3C",'Mapa final'!#REF!),"")</f>
        <v>#REF!</v>
      </c>
      <c r="AA38" s="56" t="e">
        <f>IF(AND('Mapa final'!#REF!="Baja",'Mapa final'!#REF!="Moderado"),CONCATENATE("R3C",'Mapa final'!#REF!),"")</f>
        <v>#REF!</v>
      </c>
      <c r="AB38" s="38" t="str">
        <f>IF(AND('Mapa final'!$AJ$10="Baja",'Mapa final'!$AL$10="Mayor"),CONCATENATE("R3C",'Mapa final'!$V$10),"")</f>
        <v/>
      </c>
      <c r="AC38" s="39" t="str">
        <f>IF(AND('Mapa final'!$AJ$11="Baja",'Mapa final'!$AL$11="Mayor"),CONCATENATE("R3C",'Mapa final'!$V$11),"")</f>
        <v/>
      </c>
      <c r="AD38" s="39" t="e">
        <f>IF(AND('Mapa final'!#REF!="Baja",'Mapa final'!#REF!="Mayor"),CONCATENATE("R3C",'Mapa final'!#REF!),"")</f>
        <v>#REF!</v>
      </c>
      <c r="AE38" s="39" t="e">
        <f>IF(AND('Mapa final'!#REF!="Baja",'Mapa final'!#REF!="Mayor"),CONCATENATE("R3C",'Mapa final'!#REF!),"")</f>
        <v>#REF!</v>
      </c>
      <c r="AF38" s="39" t="e">
        <f>IF(AND('Mapa final'!#REF!="Baja",'Mapa final'!#REF!="Mayor"),CONCATENATE("R3C",'Mapa final'!#REF!),"")</f>
        <v>#REF!</v>
      </c>
      <c r="AG38" s="40" t="e">
        <f>IF(AND('Mapa final'!#REF!="Baja",'Mapa final'!#REF!="Mayor"),CONCATENATE("R3C",'Mapa final'!#REF!),"")</f>
        <v>#REF!</v>
      </c>
      <c r="AH38" s="41" t="str">
        <f>IF(AND('Mapa final'!$AJ$10="Baja",'Mapa final'!$AL$10="Catastrófico"),CONCATENATE("R3C",'Mapa final'!$V$10),"")</f>
        <v/>
      </c>
      <c r="AI38" s="42" t="str">
        <f>IF(AND('Mapa final'!$AJ$11="Baja",'Mapa final'!$AL$11="Catastrófico"),CONCATENATE("R3C",'Mapa final'!$V$11),"")</f>
        <v/>
      </c>
      <c r="AJ38" s="42" t="e">
        <f>IF(AND('Mapa final'!#REF!="Baja",'Mapa final'!#REF!="Catastrófico"),CONCATENATE("R3C",'Mapa final'!#REF!),"")</f>
        <v>#REF!</v>
      </c>
      <c r="AK38" s="42" t="e">
        <f>IF(AND('Mapa final'!#REF!="Baja",'Mapa final'!#REF!="Catastrófico"),CONCATENATE("R3C",'Mapa final'!#REF!),"")</f>
        <v>#REF!</v>
      </c>
      <c r="AL38" s="42" t="e">
        <f>IF(AND('Mapa final'!#REF!="Baja",'Mapa final'!#REF!="Catastrófico"),CONCATENATE("R3C",'Mapa final'!#REF!),"")</f>
        <v>#REF!</v>
      </c>
      <c r="AM38" s="43" t="e">
        <f>IF(AND('Mapa final'!#REF!="Baja",'Mapa final'!#REF!="Catastrófico"),CONCATENATE("R3C",'Mapa final'!#REF!),"")</f>
        <v>#REF!</v>
      </c>
      <c r="AN38" s="70"/>
      <c r="AO38" s="430"/>
      <c r="AP38" s="431"/>
      <c r="AQ38" s="431"/>
      <c r="AR38" s="431"/>
      <c r="AS38" s="431"/>
      <c r="AT38" s="432"/>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row>
    <row r="39" spans="1:80" ht="15" customHeight="1" x14ac:dyDescent="0.25">
      <c r="A39" s="70"/>
      <c r="B39" s="308"/>
      <c r="C39" s="308"/>
      <c r="D39" s="309"/>
      <c r="E39" s="409"/>
      <c r="F39" s="410"/>
      <c r="G39" s="410"/>
      <c r="H39" s="410"/>
      <c r="I39" s="408"/>
      <c r="J39" s="63" t="str">
        <f>IF(AND('Mapa final'!$AJ$12="Baja",'Mapa final'!$AL$12="Leve"),CONCATENATE("R4C",'Mapa final'!$V$12),"")</f>
        <v/>
      </c>
      <c r="K39" s="64" t="str">
        <f>IF(AND('Mapa final'!$AJ$13="Baja",'Mapa final'!$AL$13="Leve"),CONCATENATE("R4C",'Mapa final'!$V$13),"")</f>
        <v/>
      </c>
      <c r="L39" s="64" t="str">
        <f>IF(AND('Mapa final'!$AJ$14="Baja",'Mapa final'!$AL$14="Leve"),CONCATENATE("R4C",'Mapa final'!$V$14),"")</f>
        <v/>
      </c>
      <c r="M39" s="64" t="e">
        <f>IF(AND('Mapa final'!#REF!="Baja",'Mapa final'!#REF!="Leve"),CONCATENATE("R4C",'Mapa final'!#REF!),"")</f>
        <v>#REF!</v>
      </c>
      <c r="N39" s="64" t="e">
        <f>IF(AND('Mapa final'!#REF!="Baja",'Mapa final'!#REF!="Leve"),CONCATENATE("R4C",'Mapa final'!#REF!),"")</f>
        <v>#REF!</v>
      </c>
      <c r="O39" s="65" t="e">
        <f>IF(AND('Mapa final'!#REF!="Baja",'Mapa final'!#REF!="Leve"),CONCATENATE("R4C",'Mapa final'!#REF!),"")</f>
        <v>#REF!</v>
      </c>
      <c r="P39" s="54" t="str">
        <f>IF(AND('Mapa final'!$AJ$12="Baja",'Mapa final'!$AL$12="Menor"),CONCATENATE("R4C",'Mapa final'!$V$12),"")</f>
        <v/>
      </c>
      <c r="Q39" s="55" t="str">
        <f>IF(AND('Mapa final'!$AJ$13="Baja",'Mapa final'!$AL$13="Menor"),CONCATENATE("R4C",'Mapa final'!$V$13),"")</f>
        <v/>
      </c>
      <c r="R39" s="55" t="str">
        <f>IF(AND('Mapa final'!$AJ$14="Baja",'Mapa final'!$AL$14="Menor"),CONCATENATE("R4C",'Mapa final'!$V$14),"")</f>
        <v/>
      </c>
      <c r="S39" s="55" t="e">
        <f>IF(AND('Mapa final'!#REF!="Baja",'Mapa final'!#REF!="Menor"),CONCATENATE("R4C",'Mapa final'!#REF!),"")</f>
        <v>#REF!</v>
      </c>
      <c r="T39" s="55" t="e">
        <f>IF(AND('Mapa final'!#REF!="Baja",'Mapa final'!#REF!="Menor"),CONCATENATE("R4C",'Mapa final'!#REF!),"")</f>
        <v>#REF!</v>
      </c>
      <c r="U39" s="56" t="e">
        <f>IF(AND('Mapa final'!#REF!="Baja",'Mapa final'!#REF!="Menor"),CONCATENATE("R4C",'Mapa final'!#REF!),"")</f>
        <v>#REF!</v>
      </c>
      <c r="V39" s="54" t="str">
        <f>IF(AND('Mapa final'!$AJ$12="Baja",'Mapa final'!$AL$12="Moderado"),CONCATENATE("R4C",'Mapa final'!$V$12),"")</f>
        <v/>
      </c>
      <c r="W39" s="55" t="str">
        <f>IF(AND('Mapa final'!$AJ$13="Baja",'Mapa final'!$AL$13="Moderado"),CONCATENATE("R4C",'Mapa final'!$V$13),"")</f>
        <v/>
      </c>
      <c r="X39" s="55" t="str">
        <f>IF(AND('Mapa final'!$AJ$14="Baja",'Mapa final'!$AL$14="Moderado"),CONCATENATE("R4C",'Mapa final'!$V$14),"")</f>
        <v/>
      </c>
      <c r="Y39" s="55" t="e">
        <f>IF(AND('Mapa final'!#REF!="Baja",'Mapa final'!#REF!="Moderado"),CONCATENATE("R4C",'Mapa final'!#REF!),"")</f>
        <v>#REF!</v>
      </c>
      <c r="Z39" s="55" t="e">
        <f>IF(AND('Mapa final'!#REF!="Baja",'Mapa final'!#REF!="Moderado"),CONCATENATE("R4C",'Mapa final'!#REF!),"")</f>
        <v>#REF!</v>
      </c>
      <c r="AA39" s="56" t="e">
        <f>IF(AND('Mapa final'!#REF!="Baja",'Mapa final'!#REF!="Moderado"),CONCATENATE("R4C",'Mapa final'!#REF!),"")</f>
        <v>#REF!</v>
      </c>
      <c r="AB39" s="38" t="str">
        <f>IF(AND('Mapa final'!$AJ$12="Baja",'Mapa final'!$AL$12="Mayor"),CONCATENATE("R4C",'Mapa final'!$V$12),"")</f>
        <v/>
      </c>
      <c r="AC39" s="39" t="str">
        <f>IF(AND('Mapa final'!$AJ$13="Baja",'Mapa final'!$AL$13="Mayor"),CONCATENATE("R4C",'Mapa final'!$V$13),"")</f>
        <v/>
      </c>
      <c r="AD39" s="39" t="str">
        <f>IF(AND('Mapa final'!$AJ$14="Baja",'Mapa final'!$AL$14="Mayor"),CONCATENATE("R4C",'Mapa final'!$V$14),"")</f>
        <v/>
      </c>
      <c r="AE39" s="39" t="e">
        <f>IF(AND('Mapa final'!#REF!="Baja",'Mapa final'!#REF!="Mayor"),CONCATENATE("R4C",'Mapa final'!#REF!),"")</f>
        <v>#REF!</v>
      </c>
      <c r="AF39" s="39" t="e">
        <f>IF(AND('Mapa final'!#REF!="Baja",'Mapa final'!#REF!="Mayor"),CONCATENATE("R4C",'Mapa final'!#REF!),"")</f>
        <v>#REF!</v>
      </c>
      <c r="AG39" s="40" t="e">
        <f>IF(AND('Mapa final'!#REF!="Baja",'Mapa final'!#REF!="Mayor"),CONCATENATE("R4C",'Mapa final'!#REF!),"")</f>
        <v>#REF!</v>
      </c>
      <c r="AH39" s="41" t="str">
        <f>IF(AND('Mapa final'!$AJ$12="Baja",'Mapa final'!$AL$12="Catastrófico"),CONCATENATE("R4C",'Mapa final'!$V$12),"")</f>
        <v/>
      </c>
      <c r="AI39" s="42" t="str">
        <f>IF(AND('Mapa final'!$AJ$13="Baja",'Mapa final'!$AL$13="Catastrófico"),CONCATENATE("R4C",'Mapa final'!$V$13),"")</f>
        <v/>
      </c>
      <c r="AJ39" s="42" t="str">
        <f>IF(AND('Mapa final'!$AJ$14="Baja",'Mapa final'!$AL$14="Catastrófico"),CONCATENATE("R4C",'Mapa final'!$V$14),"")</f>
        <v/>
      </c>
      <c r="AK39" s="42" t="e">
        <f>IF(AND('Mapa final'!#REF!="Baja",'Mapa final'!#REF!="Catastrófico"),CONCATENATE("R4C",'Mapa final'!#REF!),"")</f>
        <v>#REF!</v>
      </c>
      <c r="AL39" s="42" t="e">
        <f>IF(AND('Mapa final'!#REF!="Baja",'Mapa final'!#REF!="Catastrófico"),CONCATENATE("R4C",'Mapa final'!#REF!),"")</f>
        <v>#REF!</v>
      </c>
      <c r="AM39" s="43" t="e">
        <f>IF(AND('Mapa final'!#REF!="Baja",'Mapa final'!#REF!="Catastrófico"),CONCATENATE("R4C",'Mapa final'!#REF!),"")</f>
        <v>#REF!</v>
      </c>
      <c r="AN39" s="70"/>
      <c r="AO39" s="430"/>
      <c r="AP39" s="431"/>
      <c r="AQ39" s="431"/>
      <c r="AR39" s="431"/>
      <c r="AS39" s="431"/>
      <c r="AT39" s="432"/>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row>
    <row r="40" spans="1:80" ht="15" customHeight="1" x14ac:dyDescent="0.25">
      <c r="A40" s="70"/>
      <c r="B40" s="308"/>
      <c r="C40" s="308"/>
      <c r="D40" s="309"/>
      <c r="E40" s="409"/>
      <c r="F40" s="410"/>
      <c r="G40" s="410"/>
      <c r="H40" s="410"/>
      <c r="I40" s="408"/>
      <c r="J40" s="63" t="str">
        <f>IF(AND('Mapa final'!$AJ$15="Baja",'Mapa final'!$AL$15="Leve"),CONCATENATE("R5C",'Mapa final'!$V$15),"")</f>
        <v/>
      </c>
      <c r="K40" s="64" t="str">
        <f>IF(AND('Mapa final'!$AJ$16="Baja",'Mapa final'!$AL$16="Leve"),CONCATENATE("R5C",'Mapa final'!$V$16),"")</f>
        <v/>
      </c>
      <c r="L40" s="64" t="e">
        <f>IF(AND('Mapa final'!#REF!="Baja",'Mapa final'!#REF!="Leve"),CONCATENATE("R5C",'Mapa final'!#REF!),"")</f>
        <v>#REF!</v>
      </c>
      <c r="M40" s="64" t="e">
        <f>IF(AND('Mapa final'!#REF!="Baja",'Mapa final'!#REF!="Leve"),CONCATENATE("R5C",'Mapa final'!#REF!),"")</f>
        <v>#REF!</v>
      </c>
      <c r="N40" s="64" t="e">
        <f>IF(AND('Mapa final'!#REF!="Baja",'Mapa final'!#REF!="Leve"),CONCATENATE("R5C",'Mapa final'!#REF!),"")</f>
        <v>#REF!</v>
      </c>
      <c r="O40" s="65" t="e">
        <f>IF(AND('Mapa final'!#REF!="Baja",'Mapa final'!#REF!="Leve"),CONCATENATE("R5C",'Mapa final'!#REF!),"")</f>
        <v>#REF!</v>
      </c>
      <c r="P40" s="54" t="str">
        <f>IF(AND('Mapa final'!$AJ$15="Baja",'Mapa final'!$AL$15="Menor"),CONCATENATE("R5C",'Mapa final'!$V$15),"")</f>
        <v/>
      </c>
      <c r="Q40" s="55" t="str">
        <f>IF(AND('Mapa final'!$AJ$16="Baja",'Mapa final'!$AL$16="Menor"),CONCATENATE("R5C",'Mapa final'!$V$16),"")</f>
        <v/>
      </c>
      <c r="R40" s="55" t="e">
        <f>IF(AND('Mapa final'!#REF!="Baja",'Mapa final'!#REF!="Menor"),CONCATENATE("R5C",'Mapa final'!#REF!),"")</f>
        <v>#REF!</v>
      </c>
      <c r="S40" s="55" t="e">
        <f>IF(AND('Mapa final'!#REF!="Baja",'Mapa final'!#REF!="Menor"),CONCATENATE("R5C",'Mapa final'!#REF!),"")</f>
        <v>#REF!</v>
      </c>
      <c r="T40" s="55" t="e">
        <f>IF(AND('Mapa final'!#REF!="Baja",'Mapa final'!#REF!="Menor"),CONCATENATE("R5C",'Mapa final'!#REF!),"")</f>
        <v>#REF!</v>
      </c>
      <c r="U40" s="56" t="e">
        <f>IF(AND('Mapa final'!#REF!="Baja",'Mapa final'!#REF!="Menor"),CONCATENATE("R5C",'Mapa final'!#REF!),"")</f>
        <v>#REF!</v>
      </c>
      <c r="V40" s="54" t="str">
        <f>IF(AND('Mapa final'!$AJ$15="Baja",'Mapa final'!$AL$15="Moderado"),CONCATENATE("R5C",'Mapa final'!$V$15),"")</f>
        <v>R5C1</v>
      </c>
      <c r="W40" s="55" t="str">
        <f>IF(AND('Mapa final'!$AJ$16="Baja",'Mapa final'!$AL$16="Moderado"),CONCATENATE("R5C",'Mapa final'!$V$16),"")</f>
        <v/>
      </c>
      <c r="X40" s="55" t="e">
        <f>IF(AND('Mapa final'!#REF!="Baja",'Mapa final'!#REF!="Moderado"),CONCATENATE("R5C",'Mapa final'!#REF!),"")</f>
        <v>#REF!</v>
      </c>
      <c r="Y40" s="55" t="e">
        <f>IF(AND('Mapa final'!#REF!="Baja",'Mapa final'!#REF!="Moderado"),CONCATENATE("R5C",'Mapa final'!#REF!),"")</f>
        <v>#REF!</v>
      </c>
      <c r="Z40" s="55" t="e">
        <f>IF(AND('Mapa final'!#REF!="Baja",'Mapa final'!#REF!="Moderado"),CONCATENATE("R5C",'Mapa final'!#REF!),"")</f>
        <v>#REF!</v>
      </c>
      <c r="AA40" s="56" t="e">
        <f>IF(AND('Mapa final'!#REF!="Baja",'Mapa final'!#REF!="Moderado"),CONCATENATE("R5C",'Mapa final'!#REF!),"")</f>
        <v>#REF!</v>
      </c>
      <c r="AB40" s="38" t="str">
        <f>IF(AND('Mapa final'!$AJ$15="Baja",'Mapa final'!$AL$15="Mayor"),CONCATENATE("R5C",'Mapa final'!$V$15),"")</f>
        <v/>
      </c>
      <c r="AC40" s="39" t="str">
        <f>IF(AND('Mapa final'!$AJ$16="Baja",'Mapa final'!$AL$16="Mayor"),CONCATENATE("R5C",'Mapa final'!$V$16),"")</f>
        <v/>
      </c>
      <c r="AD40" s="44" t="e">
        <f>IF(AND('Mapa final'!#REF!="Baja",'Mapa final'!#REF!="Mayor"),CONCATENATE("R5C",'Mapa final'!#REF!),"")</f>
        <v>#REF!</v>
      </c>
      <c r="AE40" s="44" t="e">
        <f>IF(AND('Mapa final'!#REF!="Baja",'Mapa final'!#REF!="Mayor"),CONCATENATE("R5C",'Mapa final'!#REF!),"")</f>
        <v>#REF!</v>
      </c>
      <c r="AF40" s="44" t="e">
        <f>IF(AND('Mapa final'!#REF!="Baja",'Mapa final'!#REF!="Mayor"),CONCATENATE("R5C",'Mapa final'!#REF!),"")</f>
        <v>#REF!</v>
      </c>
      <c r="AG40" s="40" t="e">
        <f>IF(AND('Mapa final'!#REF!="Baja",'Mapa final'!#REF!="Mayor"),CONCATENATE("R5C",'Mapa final'!#REF!),"")</f>
        <v>#REF!</v>
      </c>
      <c r="AH40" s="41" t="str">
        <f>IF(AND('Mapa final'!$AJ$15="Baja",'Mapa final'!$AL$15="Catastrófico"),CONCATENATE("R5C",'Mapa final'!$V$15),"")</f>
        <v/>
      </c>
      <c r="AI40" s="42" t="str">
        <f>IF(AND('Mapa final'!$AJ$16="Baja",'Mapa final'!$AL$16="Catastrófico"),CONCATENATE("R5C",'Mapa final'!$V$16),"")</f>
        <v/>
      </c>
      <c r="AJ40" s="42" t="e">
        <f>IF(AND('Mapa final'!#REF!="Baja",'Mapa final'!#REF!="Catastrófico"),CONCATENATE("R5C",'Mapa final'!#REF!),"")</f>
        <v>#REF!</v>
      </c>
      <c r="AK40" s="42" t="e">
        <f>IF(AND('Mapa final'!#REF!="Baja",'Mapa final'!#REF!="Catastrófico"),CONCATENATE("R5C",'Mapa final'!#REF!),"")</f>
        <v>#REF!</v>
      </c>
      <c r="AL40" s="42" t="e">
        <f>IF(AND('Mapa final'!#REF!="Baja",'Mapa final'!#REF!="Catastrófico"),CONCATENATE("R5C",'Mapa final'!#REF!),"")</f>
        <v>#REF!</v>
      </c>
      <c r="AM40" s="43" t="e">
        <f>IF(AND('Mapa final'!#REF!="Baja",'Mapa final'!#REF!="Catastrófico"),CONCATENATE("R5C",'Mapa final'!#REF!),"")</f>
        <v>#REF!</v>
      </c>
      <c r="AN40" s="70"/>
      <c r="AO40" s="430"/>
      <c r="AP40" s="431"/>
      <c r="AQ40" s="431"/>
      <c r="AR40" s="431"/>
      <c r="AS40" s="431"/>
      <c r="AT40" s="432"/>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row>
    <row r="41" spans="1:80" ht="15" customHeight="1" x14ac:dyDescent="0.25">
      <c r="A41" s="70"/>
      <c r="B41" s="308"/>
      <c r="C41" s="308"/>
      <c r="D41" s="309"/>
      <c r="E41" s="409"/>
      <c r="F41" s="410"/>
      <c r="G41" s="410"/>
      <c r="H41" s="410"/>
      <c r="I41" s="408"/>
      <c r="J41" s="63" t="str">
        <f>IF(AND('Mapa final'!$AJ$17="Baja",'Mapa final'!$AL$17="Leve"),CONCATENATE("R6C",'Mapa final'!$V$17),"")</f>
        <v/>
      </c>
      <c r="K41" s="64" t="str">
        <f>IF(AND('Mapa final'!$AJ$18="Baja",'Mapa final'!$AL$18="Leve"),CONCATENATE("R6C",'Mapa final'!$V$18),"")</f>
        <v/>
      </c>
      <c r="L41" s="64" t="e">
        <f>IF(AND('Mapa final'!#REF!="Baja",'Mapa final'!#REF!="Leve"),CONCATENATE("R6C",'Mapa final'!#REF!),"")</f>
        <v>#REF!</v>
      </c>
      <c r="M41" s="64" t="str">
        <f>IF(AND('Mapa final'!$AJ$19="Baja",'Mapa final'!$AL$19="Leve"),CONCATENATE("R6C",'Mapa final'!$V$19),"")</f>
        <v/>
      </c>
      <c r="N41" s="64" t="e">
        <f>IF(AND('Mapa final'!#REF!="Baja",'Mapa final'!#REF!="Leve"),CONCATENATE("R6C",'Mapa final'!#REF!),"")</f>
        <v>#REF!</v>
      </c>
      <c r="O41" s="65" t="e">
        <f>IF(AND('Mapa final'!#REF!="Baja",'Mapa final'!#REF!="Leve"),CONCATENATE("R6C",'Mapa final'!#REF!),"")</f>
        <v>#REF!</v>
      </c>
      <c r="P41" s="54" t="str">
        <f>IF(AND('Mapa final'!$AJ$17="Baja",'Mapa final'!$AL$17="Menor"),CONCATENATE("R6C",'Mapa final'!$V$17),"")</f>
        <v/>
      </c>
      <c r="Q41" s="55" t="str">
        <f>IF(AND('Mapa final'!$AJ$18="Baja",'Mapa final'!$AL$18="Menor"),CONCATENATE("R6C",'Mapa final'!$V$18),"")</f>
        <v/>
      </c>
      <c r="R41" s="55" t="e">
        <f>IF(AND('Mapa final'!#REF!="Baja",'Mapa final'!#REF!="Menor"),CONCATENATE("R6C",'Mapa final'!#REF!),"")</f>
        <v>#REF!</v>
      </c>
      <c r="S41" s="55" t="str">
        <f>IF(AND('Mapa final'!$AJ$19="Baja",'Mapa final'!$AL$19="Menor"),CONCATENATE("R6C",'Mapa final'!$V$19),"")</f>
        <v/>
      </c>
      <c r="T41" s="55" t="e">
        <f>IF(AND('Mapa final'!#REF!="Baja",'Mapa final'!#REF!="Menor"),CONCATENATE("R6C",'Mapa final'!#REF!),"")</f>
        <v>#REF!</v>
      </c>
      <c r="U41" s="56" t="e">
        <f>IF(AND('Mapa final'!#REF!="Baja",'Mapa final'!#REF!="Menor"),CONCATENATE("R6C",'Mapa final'!#REF!),"")</f>
        <v>#REF!</v>
      </c>
      <c r="V41" s="54" t="str">
        <f>IF(AND('Mapa final'!$AJ$17="Baja",'Mapa final'!$AL$17="Moderado"),CONCATENATE("R6C",'Mapa final'!$V$17),"")</f>
        <v>R6C1</v>
      </c>
      <c r="W41" s="55" t="str">
        <f>IF(AND('Mapa final'!$AJ$18="Baja",'Mapa final'!$AL$18="Moderado"),CONCATENATE("R6C",'Mapa final'!$V$18),"")</f>
        <v/>
      </c>
      <c r="X41" s="55" t="e">
        <f>IF(AND('Mapa final'!#REF!="Baja",'Mapa final'!#REF!="Moderado"),CONCATENATE("R6C",'Mapa final'!#REF!),"")</f>
        <v>#REF!</v>
      </c>
      <c r="Y41" s="55" t="str">
        <f>IF(AND('Mapa final'!$AJ$19="Baja",'Mapa final'!$AL$19="Moderado"),CONCATENATE("R6C",'Mapa final'!$V$19),"")</f>
        <v/>
      </c>
      <c r="Z41" s="55" t="e">
        <f>IF(AND('Mapa final'!#REF!="Baja",'Mapa final'!#REF!="Moderado"),CONCATENATE("R6C",'Mapa final'!#REF!),"")</f>
        <v>#REF!</v>
      </c>
      <c r="AA41" s="56" t="e">
        <f>IF(AND('Mapa final'!#REF!="Baja",'Mapa final'!#REF!="Moderado"),CONCATENATE("R6C",'Mapa final'!#REF!),"")</f>
        <v>#REF!</v>
      </c>
      <c r="AB41" s="38" t="str">
        <f>IF(AND('Mapa final'!$AJ$17="Baja",'Mapa final'!$AL$17="Mayor"),CONCATENATE("R6C",'Mapa final'!$V$17),"")</f>
        <v/>
      </c>
      <c r="AC41" s="39" t="str">
        <f>IF(AND('Mapa final'!$AJ$18="Baja",'Mapa final'!$AL$18="Mayor"),CONCATENATE("R6C",'Mapa final'!$V$18),"")</f>
        <v/>
      </c>
      <c r="AD41" s="44" t="e">
        <f>IF(AND('Mapa final'!#REF!="Baja",'Mapa final'!#REF!="Mayor"),CONCATENATE("R6C",'Mapa final'!#REF!),"")</f>
        <v>#REF!</v>
      </c>
      <c r="AE41" s="44" t="str">
        <f>IF(AND('Mapa final'!$AJ$19="Baja",'Mapa final'!$AL$19="Mayor"),CONCATENATE("R6C",'Mapa final'!$V$19),"")</f>
        <v/>
      </c>
      <c r="AF41" s="44" t="e">
        <f>IF(AND('Mapa final'!#REF!="Baja",'Mapa final'!#REF!="Mayor"),CONCATENATE("R6C",'Mapa final'!#REF!),"")</f>
        <v>#REF!</v>
      </c>
      <c r="AG41" s="40" t="e">
        <f>IF(AND('Mapa final'!#REF!="Baja",'Mapa final'!#REF!="Mayor"),CONCATENATE("R6C",'Mapa final'!#REF!),"")</f>
        <v>#REF!</v>
      </c>
      <c r="AH41" s="41" t="str">
        <f>IF(AND('Mapa final'!$AJ$17="Baja",'Mapa final'!$AL$17="Catastrófico"),CONCATENATE("R6C",'Mapa final'!$V$17),"")</f>
        <v/>
      </c>
      <c r="AI41" s="42" t="str">
        <f>IF(AND('Mapa final'!$AJ$18="Baja",'Mapa final'!$AL$18="Catastrófico"),CONCATENATE("R6C",'Mapa final'!$V$18),"")</f>
        <v/>
      </c>
      <c r="AJ41" s="42" t="e">
        <f>IF(AND('Mapa final'!#REF!="Baja",'Mapa final'!#REF!="Catastrófico"),CONCATENATE("R6C",'Mapa final'!#REF!),"")</f>
        <v>#REF!</v>
      </c>
      <c r="AK41" s="42" t="str">
        <f>IF(AND('Mapa final'!$AJ$19="Baja",'Mapa final'!$AL$19="Catastrófico"),CONCATENATE("R6C",'Mapa final'!$V$19),"")</f>
        <v/>
      </c>
      <c r="AL41" s="42" t="e">
        <f>IF(AND('Mapa final'!#REF!="Baja",'Mapa final'!#REF!="Catastrófico"),CONCATENATE("R6C",'Mapa final'!#REF!),"")</f>
        <v>#REF!</v>
      </c>
      <c r="AM41" s="43" t="e">
        <f>IF(AND('Mapa final'!#REF!="Baja",'Mapa final'!#REF!="Catastrófico"),CONCATENATE("R6C",'Mapa final'!#REF!),"")</f>
        <v>#REF!</v>
      </c>
      <c r="AN41" s="70"/>
      <c r="AO41" s="430"/>
      <c r="AP41" s="431"/>
      <c r="AQ41" s="431"/>
      <c r="AR41" s="431"/>
      <c r="AS41" s="431"/>
      <c r="AT41" s="432"/>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row>
    <row r="42" spans="1:80" ht="15" customHeight="1" x14ac:dyDescent="0.25">
      <c r="A42" s="70"/>
      <c r="B42" s="308"/>
      <c r="C42" s="308"/>
      <c r="D42" s="309"/>
      <c r="E42" s="409"/>
      <c r="F42" s="410"/>
      <c r="G42" s="410"/>
      <c r="H42" s="410"/>
      <c r="I42" s="408"/>
      <c r="J42" s="63" t="str">
        <f>IF(AND('Mapa final'!$AJ$20="Baja",'Mapa final'!$AL$20="Leve"),CONCATENATE("R7C",'Mapa final'!$V$20),"")</f>
        <v/>
      </c>
      <c r="K42" s="64" t="str">
        <f>IF(AND('Mapa final'!$AJ$21="Baja",'Mapa final'!$AL$21="Leve"),CONCATENATE("R7C",'Mapa final'!$V$21),"")</f>
        <v/>
      </c>
      <c r="L42" s="64" t="e">
        <f>IF(AND('Mapa final'!#REF!="Baja",'Mapa final'!#REF!="Leve"),CONCATENATE("R7C",'Mapa final'!#REF!),"")</f>
        <v>#REF!</v>
      </c>
      <c r="M42" s="64" t="e">
        <f>IF(AND('Mapa final'!#REF!="Baja",'Mapa final'!#REF!="Leve"),CONCATENATE("R7C",'Mapa final'!#REF!),"")</f>
        <v>#REF!</v>
      </c>
      <c r="N42" s="64" t="e">
        <f>IF(AND('Mapa final'!#REF!="Baja",'Mapa final'!#REF!="Leve"),CONCATENATE("R7C",'Mapa final'!#REF!),"")</f>
        <v>#REF!</v>
      </c>
      <c r="O42" s="65" t="e">
        <f>IF(AND('Mapa final'!#REF!="Baja",'Mapa final'!#REF!="Leve"),CONCATENATE("R7C",'Mapa final'!#REF!),"")</f>
        <v>#REF!</v>
      </c>
      <c r="P42" s="54" t="str">
        <f>IF(AND('Mapa final'!$AJ$20="Baja",'Mapa final'!$AL$20="Menor"),CONCATENATE("R7C",'Mapa final'!$V$20),"")</f>
        <v/>
      </c>
      <c r="Q42" s="55" t="str">
        <f>IF(AND('Mapa final'!$AJ$21="Baja",'Mapa final'!$AL$21="Menor"),CONCATENATE("R7C",'Mapa final'!$V$21),"")</f>
        <v/>
      </c>
      <c r="R42" s="55" t="e">
        <f>IF(AND('Mapa final'!#REF!="Baja",'Mapa final'!#REF!="Menor"),CONCATENATE("R7C",'Mapa final'!#REF!),"")</f>
        <v>#REF!</v>
      </c>
      <c r="S42" s="55" t="e">
        <f>IF(AND('Mapa final'!#REF!="Baja",'Mapa final'!#REF!="Menor"),CONCATENATE("R7C",'Mapa final'!#REF!),"")</f>
        <v>#REF!</v>
      </c>
      <c r="T42" s="55" t="e">
        <f>IF(AND('Mapa final'!#REF!="Baja",'Mapa final'!#REF!="Menor"),CONCATENATE("R7C",'Mapa final'!#REF!),"")</f>
        <v>#REF!</v>
      </c>
      <c r="U42" s="56" t="e">
        <f>IF(AND('Mapa final'!#REF!="Baja",'Mapa final'!#REF!="Menor"),CONCATENATE("R7C",'Mapa final'!#REF!),"")</f>
        <v>#REF!</v>
      </c>
      <c r="V42" s="54" t="str">
        <f>IF(AND('Mapa final'!$AJ$20="Baja",'Mapa final'!$AL$20="Moderado"),CONCATENATE("R7C",'Mapa final'!$V$20),"")</f>
        <v>R7C1</v>
      </c>
      <c r="W42" s="55" t="str">
        <f>IF(AND('Mapa final'!$AJ$21="Baja",'Mapa final'!$AL$21="Moderado"),CONCATENATE("R7C",'Mapa final'!$V$21),"")</f>
        <v>R7C2</v>
      </c>
      <c r="X42" s="55" t="e">
        <f>IF(AND('Mapa final'!#REF!="Baja",'Mapa final'!#REF!="Moderado"),CONCATENATE("R7C",'Mapa final'!#REF!),"")</f>
        <v>#REF!</v>
      </c>
      <c r="Y42" s="55" t="e">
        <f>IF(AND('Mapa final'!#REF!="Baja",'Mapa final'!#REF!="Moderado"),CONCATENATE("R7C",'Mapa final'!#REF!),"")</f>
        <v>#REF!</v>
      </c>
      <c r="Z42" s="55" t="e">
        <f>IF(AND('Mapa final'!#REF!="Baja",'Mapa final'!#REF!="Moderado"),CONCATENATE("R7C",'Mapa final'!#REF!),"")</f>
        <v>#REF!</v>
      </c>
      <c r="AA42" s="56" t="e">
        <f>IF(AND('Mapa final'!#REF!="Baja",'Mapa final'!#REF!="Moderado"),CONCATENATE("R7C",'Mapa final'!#REF!),"")</f>
        <v>#REF!</v>
      </c>
      <c r="AB42" s="38" t="str">
        <f>IF(AND('Mapa final'!$AJ$20="Baja",'Mapa final'!$AL$20="Mayor"),CONCATENATE("R7C",'Mapa final'!$V$20),"")</f>
        <v/>
      </c>
      <c r="AC42" s="39" t="str">
        <f>IF(AND('Mapa final'!$AJ$21="Baja",'Mapa final'!$AL$21="Mayor"),CONCATENATE("R7C",'Mapa final'!$V$21),"")</f>
        <v/>
      </c>
      <c r="AD42" s="44" t="e">
        <f>IF(AND('Mapa final'!#REF!="Baja",'Mapa final'!#REF!="Mayor"),CONCATENATE("R7C",'Mapa final'!#REF!),"")</f>
        <v>#REF!</v>
      </c>
      <c r="AE42" s="44" t="e">
        <f>IF(AND('Mapa final'!#REF!="Baja",'Mapa final'!#REF!="Mayor"),CONCATENATE("R7C",'Mapa final'!#REF!),"")</f>
        <v>#REF!</v>
      </c>
      <c r="AF42" s="44" t="e">
        <f>IF(AND('Mapa final'!#REF!="Baja",'Mapa final'!#REF!="Mayor"),CONCATENATE("R7C",'Mapa final'!#REF!),"")</f>
        <v>#REF!</v>
      </c>
      <c r="AG42" s="40" t="e">
        <f>IF(AND('Mapa final'!#REF!="Baja",'Mapa final'!#REF!="Mayor"),CONCATENATE("R7C",'Mapa final'!#REF!),"")</f>
        <v>#REF!</v>
      </c>
      <c r="AH42" s="41" t="str">
        <f>IF(AND('Mapa final'!$AJ$20="Baja",'Mapa final'!$AL$20="Catastrófico"),CONCATENATE("R7C",'Mapa final'!$V$20),"")</f>
        <v/>
      </c>
      <c r="AI42" s="42" t="str">
        <f>IF(AND('Mapa final'!$AJ$21="Baja",'Mapa final'!$AL$21="Catastrófico"),CONCATENATE("R7C",'Mapa final'!$V$21),"")</f>
        <v/>
      </c>
      <c r="AJ42" s="42" t="e">
        <f>IF(AND('Mapa final'!#REF!="Baja",'Mapa final'!#REF!="Catastrófico"),CONCATENATE("R7C",'Mapa final'!#REF!),"")</f>
        <v>#REF!</v>
      </c>
      <c r="AK42" s="42" t="e">
        <f>IF(AND('Mapa final'!#REF!="Baja",'Mapa final'!#REF!="Catastrófico"),CONCATENATE("R7C",'Mapa final'!#REF!),"")</f>
        <v>#REF!</v>
      </c>
      <c r="AL42" s="42" t="e">
        <f>IF(AND('Mapa final'!#REF!="Baja",'Mapa final'!#REF!="Catastrófico"),CONCATENATE("R7C",'Mapa final'!#REF!),"")</f>
        <v>#REF!</v>
      </c>
      <c r="AM42" s="43" t="e">
        <f>IF(AND('Mapa final'!#REF!="Baja",'Mapa final'!#REF!="Catastrófico"),CONCATENATE("R7C",'Mapa final'!#REF!),"")</f>
        <v>#REF!</v>
      </c>
      <c r="AN42" s="70"/>
      <c r="AO42" s="430"/>
      <c r="AP42" s="431"/>
      <c r="AQ42" s="431"/>
      <c r="AR42" s="431"/>
      <c r="AS42" s="431"/>
      <c r="AT42" s="432"/>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row>
    <row r="43" spans="1:80" ht="15" customHeight="1" x14ac:dyDescent="0.25">
      <c r="A43" s="70"/>
      <c r="B43" s="308"/>
      <c r="C43" s="308"/>
      <c r="D43" s="309"/>
      <c r="E43" s="409"/>
      <c r="F43" s="410"/>
      <c r="G43" s="410"/>
      <c r="H43" s="410"/>
      <c r="I43" s="408"/>
      <c r="J43" s="63" t="str">
        <f>IF(AND('Mapa final'!$AJ$22="Baja",'Mapa final'!$AL$22="Leve"),CONCATENATE("R8C",'Mapa final'!$V$22),"")</f>
        <v/>
      </c>
      <c r="K43" s="64" t="str">
        <f>IF(AND('Mapa final'!$AJ$23="Baja",'Mapa final'!$AL$23="Leve"),CONCATENATE("R8C",'Mapa final'!$V$23),"")</f>
        <v/>
      </c>
      <c r="L43" s="64" t="str">
        <f>IF(AND('Mapa final'!$AJ$24="Baja",'Mapa final'!$AL$24="Leve"),CONCATENATE("R8C",'Mapa final'!$V$24),"")</f>
        <v/>
      </c>
      <c r="M43" s="64" t="str">
        <f>IF(AND('Mapa final'!$AJ$25="Baja",'Mapa final'!$AL$25="Leve"),CONCATENATE("R8C",'Mapa final'!$V$25),"")</f>
        <v/>
      </c>
      <c r="N43" s="64" t="e">
        <f>IF(AND('Mapa final'!#REF!="Baja",'Mapa final'!#REF!="Leve"),CONCATENATE("R8C",'Mapa final'!#REF!),"")</f>
        <v>#REF!</v>
      </c>
      <c r="O43" s="65" t="e">
        <f>IF(AND('Mapa final'!#REF!="Baja",'Mapa final'!#REF!="Leve"),CONCATENATE("R8C",'Mapa final'!#REF!),"")</f>
        <v>#REF!</v>
      </c>
      <c r="P43" s="54" t="str">
        <f>IF(AND('Mapa final'!$AJ$22="Baja",'Mapa final'!$AL$22="Menor"),CONCATENATE("R8C",'Mapa final'!$V$22),"")</f>
        <v>R8C1</v>
      </c>
      <c r="Q43" s="55" t="str">
        <f>IF(AND('Mapa final'!$AJ$23="Baja",'Mapa final'!$AL$23="Menor"),CONCATENATE("R8C",'Mapa final'!$V$23),"")</f>
        <v>R8C2</v>
      </c>
      <c r="R43" s="55" t="str">
        <f>IF(AND('Mapa final'!$AJ$24="Baja",'Mapa final'!$AL$24="Menor"),CONCATENATE("R8C",'Mapa final'!$V$24),"")</f>
        <v/>
      </c>
      <c r="S43" s="55" t="str">
        <f>IF(AND('Mapa final'!$AJ$25="Baja",'Mapa final'!$AL$25="Menor"),CONCATENATE("R8C",'Mapa final'!$V$25),"")</f>
        <v/>
      </c>
      <c r="T43" s="55" t="e">
        <f>IF(AND('Mapa final'!#REF!="Baja",'Mapa final'!#REF!="Menor"),CONCATENATE("R8C",'Mapa final'!#REF!),"")</f>
        <v>#REF!</v>
      </c>
      <c r="U43" s="56" t="e">
        <f>IF(AND('Mapa final'!#REF!="Baja",'Mapa final'!#REF!="Menor"),CONCATENATE("R8C",'Mapa final'!#REF!),"")</f>
        <v>#REF!</v>
      </c>
      <c r="V43" s="54" t="str">
        <f>IF(AND('Mapa final'!$AJ$22="Baja",'Mapa final'!$AL$22="Moderado"),CONCATENATE("R8C",'Mapa final'!$V$22),"")</f>
        <v/>
      </c>
      <c r="W43" s="55" t="str">
        <f>IF(AND('Mapa final'!$AJ$23="Baja",'Mapa final'!$AL$23="Moderado"),CONCATENATE("R8C",'Mapa final'!$V$23),"")</f>
        <v/>
      </c>
      <c r="X43" s="55" t="str">
        <f>IF(AND('Mapa final'!$AJ$24="Baja",'Mapa final'!$AL$24="Moderado"),CONCATENATE("R8C",'Mapa final'!$V$24),"")</f>
        <v/>
      </c>
      <c r="Y43" s="55" t="str">
        <f>IF(AND('Mapa final'!$AJ$25="Baja",'Mapa final'!$AL$25="Moderado"),CONCATENATE("R8C",'Mapa final'!$V$25),"")</f>
        <v/>
      </c>
      <c r="Z43" s="55" t="e">
        <f>IF(AND('Mapa final'!#REF!="Baja",'Mapa final'!#REF!="Moderado"),CONCATENATE("R8C",'Mapa final'!#REF!),"")</f>
        <v>#REF!</v>
      </c>
      <c r="AA43" s="56" t="e">
        <f>IF(AND('Mapa final'!#REF!="Baja",'Mapa final'!#REF!="Moderado"),CONCATENATE("R8C",'Mapa final'!#REF!),"")</f>
        <v>#REF!</v>
      </c>
      <c r="AB43" s="38" t="str">
        <f>IF(AND('Mapa final'!$AJ$22="Baja",'Mapa final'!$AL$22="Mayor"),CONCATENATE("R8C",'Mapa final'!$V$22),"")</f>
        <v/>
      </c>
      <c r="AC43" s="39" t="str">
        <f>IF(AND('Mapa final'!$AJ$23="Baja",'Mapa final'!$AL$23="Mayor"),CONCATENATE("R8C",'Mapa final'!$V$23),"")</f>
        <v/>
      </c>
      <c r="AD43" s="44" t="str">
        <f>IF(AND('Mapa final'!$AJ$24="Baja",'Mapa final'!$AL$24="Mayor"),CONCATENATE("R8C",'Mapa final'!$V$24),"")</f>
        <v/>
      </c>
      <c r="AE43" s="44" t="str">
        <f>IF(AND('Mapa final'!$AJ$25="Baja",'Mapa final'!$AL$25="Mayor"),CONCATENATE("R8C",'Mapa final'!$V$25),"")</f>
        <v/>
      </c>
      <c r="AF43" s="44" t="e">
        <f>IF(AND('Mapa final'!#REF!="Baja",'Mapa final'!#REF!="Mayor"),CONCATENATE("R8C",'Mapa final'!#REF!),"")</f>
        <v>#REF!</v>
      </c>
      <c r="AG43" s="40" t="e">
        <f>IF(AND('Mapa final'!#REF!="Baja",'Mapa final'!#REF!="Mayor"),CONCATENATE("R8C",'Mapa final'!#REF!),"")</f>
        <v>#REF!</v>
      </c>
      <c r="AH43" s="41" t="str">
        <f>IF(AND('Mapa final'!$AJ$22="Baja",'Mapa final'!$AL$22="Catastrófico"),CONCATENATE("R8C",'Mapa final'!$V$22),"")</f>
        <v/>
      </c>
      <c r="AI43" s="42" t="str">
        <f>IF(AND('Mapa final'!$AJ$23="Baja",'Mapa final'!$AL$23="Catastrófico"),CONCATENATE("R8C",'Mapa final'!$V$23),"")</f>
        <v/>
      </c>
      <c r="AJ43" s="42" t="str">
        <f>IF(AND('Mapa final'!$AJ$24="Baja",'Mapa final'!$AL$24="Catastrófico"),CONCATENATE("R8C",'Mapa final'!$V$24),"")</f>
        <v/>
      </c>
      <c r="AK43" s="42" t="str">
        <f>IF(AND('Mapa final'!$AJ$25="Baja",'Mapa final'!$AL$25="Catastrófico"),CONCATENATE("R8C",'Mapa final'!$V$25),"")</f>
        <v/>
      </c>
      <c r="AL43" s="42" t="e">
        <f>IF(AND('Mapa final'!#REF!="Baja",'Mapa final'!#REF!="Catastrófico"),CONCATENATE("R8C",'Mapa final'!#REF!),"")</f>
        <v>#REF!</v>
      </c>
      <c r="AM43" s="43" t="e">
        <f>IF(AND('Mapa final'!#REF!="Baja",'Mapa final'!#REF!="Catastrófico"),CONCATENATE("R8C",'Mapa final'!#REF!),"")</f>
        <v>#REF!</v>
      </c>
      <c r="AN43" s="70"/>
      <c r="AO43" s="430"/>
      <c r="AP43" s="431"/>
      <c r="AQ43" s="431"/>
      <c r="AR43" s="431"/>
      <c r="AS43" s="431"/>
      <c r="AT43" s="432"/>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row>
    <row r="44" spans="1:80" ht="15" customHeight="1" x14ac:dyDescent="0.25">
      <c r="A44" s="70"/>
      <c r="B44" s="308"/>
      <c r="C44" s="308"/>
      <c r="D44" s="309"/>
      <c r="E44" s="409"/>
      <c r="F44" s="410"/>
      <c r="G44" s="410"/>
      <c r="H44" s="410"/>
      <c r="I44" s="408"/>
      <c r="J44" s="63" t="str">
        <f>IF(AND('Mapa final'!$AJ$26="Baja",'Mapa final'!$AL$26="Leve"),CONCATENATE("R9C",'Mapa final'!$V$26),"")</f>
        <v/>
      </c>
      <c r="K44" s="64" t="str">
        <f>IF(AND('Mapa final'!$AJ$27="Baja",'Mapa final'!$AL$27="Leve"),CONCATENATE("R9C",'Mapa final'!$V$27),"")</f>
        <v/>
      </c>
      <c r="L44" s="64" t="str">
        <f>IF(AND('Mapa final'!$AJ$28="Baja",'Mapa final'!$AL$28="Leve"),CONCATENATE("R9C",'Mapa final'!$V$28),"")</f>
        <v/>
      </c>
      <c r="M44" s="64" t="str">
        <f>IF(AND('Mapa final'!$AJ$29="Baja",'Mapa final'!$AL$29="Leve"),CONCATENATE("R9C",'Mapa final'!$V$29),"")</f>
        <v/>
      </c>
      <c r="N44" s="64" t="e">
        <f>IF(AND('Mapa final'!#REF!="Baja",'Mapa final'!#REF!="Leve"),CONCATENATE("R9C",'Mapa final'!#REF!),"")</f>
        <v>#REF!</v>
      </c>
      <c r="O44" s="65" t="e">
        <f>IF(AND('Mapa final'!#REF!="Baja",'Mapa final'!#REF!="Leve"),CONCATENATE("R9C",'Mapa final'!#REF!),"")</f>
        <v>#REF!</v>
      </c>
      <c r="P44" s="54" t="str">
        <f>IF(AND('Mapa final'!$AJ$26="Baja",'Mapa final'!$AL$26="Menor"),CONCATENATE("R9C",'Mapa final'!$V$26),"")</f>
        <v/>
      </c>
      <c r="Q44" s="55" t="str">
        <f>IF(AND('Mapa final'!$AJ$27="Baja",'Mapa final'!$AL$27="Menor"),CONCATENATE("R9C",'Mapa final'!$V$27),"")</f>
        <v/>
      </c>
      <c r="R44" s="55" t="str">
        <f>IF(AND('Mapa final'!$AJ$28="Baja",'Mapa final'!$AL$28="Menor"),CONCATENATE("R9C",'Mapa final'!$V$28),"")</f>
        <v/>
      </c>
      <c r="S44" s="55" t="str">
        <f>IF(AND('Mapa final'!$AJ$29="Baja",'Mapa final'!$AL$29="Menor"),CONCATENATE("R9C",'Mapa final'!$V$29),"")</f>
        <v/>
      </c>
      <c r="T44" s="55" t="e">
        <f>IF(AND('Mapa final'!#REF!="Baja",'Mapa final'!#REF!="Menor"),CONCATENATE("R9C",'Mapa final'!#REF!),"")</f>
        <v>#REF!</v>
      </c>
      <c r="U44" s="56" t="e">
        <f>IF(AND('Mapa final'!#REF!="Baja",'Mapa final'!#REF!="Menor"),CONCATENATE("R9C",'Mapa final'!#REF!),"")</f>
        <v>#REF!</v>
      </c>
      <c r="V44" s="54" t="str">
        <f>IF(AND('Mapa final'!$AJ$26="Baja",'Mapa final'!$AL$26="Moderado"),CONCATENATE("R9C",'Mapa final'!$V$26),"")</f>
        <v/>
      </c>
      <c r="W44" s="55" t="str">
        <f>IF(AND('Mapa final'!$AJ$27="Baja",'Mapa final'!$AL$27="Moderado"),CONCATENATE("R9C",'Mapa final'!$V$27),"")</f>
        <v/>
      </c>
      <c r="X44" s="55" t="str">
        <f>IF(AND('Mapa final'!$AJ$28="Baja",'Mapa final'!$AL$28="Moderado"),CONCATENATE("R9C",'Mapa final'!$V$28),"")</f>
        <v/>
      </c>
      <c r="Y44" s="55" t="str">
        <f>IF(AND('Mapa final'!$AJ$29="Baja",'Mapa final'!$AL$29="Moderado"),CONCATENATE("R9C",'Mapa final'!$V$29),"")</f>
        <v/>
      </c>
      <c r="Z44" s="55" t="e">
        <f>IF(AND('Mapa final'!#REF!="Baja",'Mapa final'!#REF!="Moderado"),CONCATENATE("R9C",'Mapa final'!#REF!),"")</f>
        <v>#REF!</v>
      </c>
      <c r="AA44" s="56" t="e">
        <f>IF(AND('Mapa final'!#REF!="Baja",'Mapa final'!#REF!="Moderado"),CONCATENATE("R9C",'Mapa final'!#REF!),"")</f>
        <v>#REF!</v>
      </c>
      <c r="AB44" s="38" t="str">
        <f>IF(AND('Mapa final'!$AJ$26="Baja",'Mapa final'!$AL$26="Mayor"),CONCATENATE("R9C",'Mapa final'!$V$26),"")</f>
        <v/>
      </c>
      <c r="AC44" s="39" t="str">
        <f>IF(AND('Mapa final'!$AJ$27="Baja",'Mapa final'!$AL$27="Mayor"),CONCATENATE("R9C",'Mapa final'!$V$27),"")</f>
        <v/>
      </c>
      <c r="AD44" s="44" t="str">
        <f>IF(AND('Mapa final'!$AJ$28="Baja",'Mapa final'!$AL$28="Mayor"),CONCATENATE("R9C",'Mapa final'!$V$28),"")</f>
        <v/>
      </c>
      <c r="AE44" s="44" t="str">
        <f>IF(AND('Mapa final'!$AJ$29="Baja",'Mapa final'!$AL$29="Mayor"),CONCATENATE("R9C",'Mapa final'!$V$29),"")</f>
        <v/>
      </c>
      <c r="AF44" s="44" t="e">
        <f>IF(AND('Mapa final'!#REF!="Baja",'Mapa final'!#REF!="Mayor"),CONCATENATE("R9C",'Mapa final'!#REF!),"")</f>
        <v>#REF!</v>
      </c>
      <c r="AG44" s="40" t="e">
        <f>IF(AND('Mapa final'!#REF!="Baja",'Mapa final'!#REF!="Mayor"),CONCATENATE("R9C",'Mapa final'!#REF!),"")</f>
        <v>#REF!</v>
      </c>
      <c r="AH44" s="41" t="str">
        <f>IF(AND('Mapa final'!$AJ$26="Baja",'Mapa final'!$AL$26="Catastrófico"),CONCATENATE("R9C",'Mapa final'!$V$26),"")</f>
        <v/>
      </c>
      <c r="AI44" s="42" t="str">
        <f>IF(AND('Mapa final'!$AJ$27="Baja",'Mapa final'!$AL$27="Catastrófico"),CONCATENATE("R9C",'Mapa final'!$V$27),"")</f>
        <v/>
      </c>
      <c r="AJ44" s="42" t="str">
        <f>IF(AND('Mapa final'!$AJ$28="Baja",'Mapa final'!$AL$28="Catastrófico"),CONCATENATE("R9C",'Mapa final'!$V$28),"")</f>
        <v/>
      </c>
      <c r="AK44" s="42" t="str">
        <f>IF(AND('Mapa final'!$AJ$29="Baja",'Mapa final'!$AL$29="Catastrófico"),CONCATENATE("R9C",'Mapa final'!$V$29),"")</f>
        <v/>
      </c>
      <c r="AL44" s="42" t="e">
        <f>IF(AND('Mapa final'!#REF!="Baja",'Mapa final'!#REF!="Catastrófico"),CONCATENATE("R9C",'Mapa final'!#REF!),"")</f>
        <v>#REF!</v>
      </c>
      <c r="AM44" s="43" t="e">
        <f>IF(AND('Mapa final'!#REF!="Baja",'Mapa final'!#REF!="Catastrófico"),CONCATENATE("R9C",'Mapa final'!#REF!),"")</f>
        <v>#REF!</v>
      </c>
      <c r="AN44" s="70"/>
      <c r="AO44" s="430"/>
      <c r="AP44" s="431"/>
      <c r="AQ44" s="431"/>
      <c r="AR44" s="431"/>
      <c r="AS44" s="431"/>
      <c r="AT44" s="432"/>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row>
    <row r="45" spans="1:80" ht="15.75" customHeight="1" thickBot="1" x14ac:dyDescent="0.3">
      <c r="A45" s="70"/>
      <c r="B45" s="308"/>
      <c r="C45" s="308"/>
      <c r="D45" s="309"/>
      <c r="E45" s="411"/>
      <c r="F45" s="412"/>
      <c r="G45" s="412"/>
      <c r="H45" s="412"/>
      <c r="I45" s="412"/>
      <c r="J45" s="66" t="e">
        <f>IF(AND('Mapa final'!#REF!="Baja",'Mapa final'!#REF!="Leve"),CONCATENATE("R10C",'Mapa final'!#REF!),"")</f>
        <v>#REF!</v>
      </c>
      <c r="K45" s="67" t="e">
        <f>IF(AND('Mapa final'!#REF!="Baja",'Mapa final'!#REF!="Leve"),CONCATENATE("R10C",'Mapa final'!#REF!),"")</f>
        <v>#REF!</v>
      </c>
      <c r="L45" s="67" t="e">
        <f>IF(AND('Mapa final'!#REF!="Baja",'Mapa final'!#REF!="Leve"),CONCATENATE("R10C",'Mapa final'!#REF!),"")</f>
        <v>#REF!</v>
      </c>
      <c r="M45" s="67" t="e">
        <f>IF(AND('Mapa final'!#REF!="Baja",'Mapa final'!#REF!="Leve"),CONCATENATE("R10C",'Mapa final'!#REF!),"")</f>
        <v>#REF!</v>
      </c>
      <c r="N45" s="67" t="e">
        <f>IF(AND('Mapa final'!#REF!="Baja",'Mapa final'!#REF!="Leve"),CONCATENATE("R10C",'Mapa final'!#REF!),"")</f>
        <v>#REF!</v>
      </c>
      <c r="O45" s="68" t="e">
        <f>IF(AND('Mapa final'!#REF!="Baja",'Mapa final'!#REF!="Leve"),CONCATENATE("R10C",'Mapa final'!#REF!),"")</f>
        <v>#REF!</v>
      </c>
      <c r="P45" s="54" t="e">
        <f>IF(AND('Mapa final'!#REF!="Baja",'Mapa final'!#REF!="Menor"),CONCATENATE("R10C",'Mapa final'!#REF!),"")</f>
        <v>#REF!</v>
      </c>
      <c r="Q45" s="55" t="e">
        <f>IF(AND('Mapa final'!#REF!="Baja",'Mapa final'!#REF!="Menor"),CONCATENATE("R10C",'Mapa final'!#REF!),"")</f>
        <v>#REF!</v>
      </c>
      <c r="R45" s="55" t="e">
        <f>IF(AND('Mapa final'!#REF!="Baja",'Mapa final'!#REF!="Menor"),CONCATENATE("R10C",'Mapa final'!#REF!),"")</f>
        <v>#REF!</v>
      </c>
      <c r="S45" s="55" t="e">
        <f>IF(AND('Mapa final'!#REF!="Baja",'Mapa final'!#REF!="Menor"),CONCATENATE("R10C",'Mapa final'!#REF!),"")</f>
        <v>#REF!</v>
      </c>
      <c r="T45" s="55" t="e">
        <f>IF(AND('Mapa final'!#REF!="Baja",'Mapa final'!#REF!="Menor"),CONCATENATE("R10C",'Mapa final'!#REF!),"")</f>
        <v>#REF!</v>
      </c>
      <c r="U45" s="56" t="e">
        <f>IF(AND('Mapa final'!#REF!="Baja",'Mapa final'!#REF!="Menor"),CONCATENATE("R10C",'Mapa final'!#REF!),"")</f>
        <v>#REF!</v>
      </c>
      <c r="V45" s="57" t="e">
        <f>IF(AND('Mapa final'!#REF!="Baja",'Mapa final'!#REF!="Moderado"),CONCATENATE("R10C",'Mapa final'!#REF!),"")</f>
        <v>#REF!</v>
      </c>
      <c r="W45" s="58" t="e">
        <f>IF(AND('Mapa final'!#REF!="Baja",'Mapa final'!#REF!="Moderado"),CONCATENATE("R10C",'Mapa final'!#REF!),"")</f>
        <v>#REF!</v>
      </c>
      <c r="X45" s="58" t="e">
        <f>IF(AND('Mapa final'!#REF!="Baja",'Mapa final'!#REF!="Moderado"),CONCATENATE("R10C",'Mapa final'!#REF!),"")</f>
        <v>#REF!</v>
      </c>
      <c r="Y45" s="58" t="e">
        <f>IF(AND('Mapa final'!#REF!="Baja",'Mapa final'!#REF!="Moderado"),CONCATENATE("R10C",'Mapa final'!#REF!),"")</f>
        <v>#REF!</v>
      </c>
      <c r="Z45" s="58" t="e">
        <f>IF(AND('Mapa final'!#REF!="Baja",'Mapa final'!#REF!="Moderado"),CONCATENATE("R10C",'Mapa final'!#REF!),"")</f>
        <v>#REF!</v>
      </c>
      <c r="AA45" s="59" t="e">
        <f>IF(AND('Mapa final'!#REF!="Baja",'Mapa final'!#REF!="Moderado"),CONCATENATE("R10C",'Mapa final'!#REF!),"")</f>
        <v>#REF!</v>
      </c>
      <c r="AB45" s="45" t="e">
        <f>IF(AND('Mapa final'!#REF!="Baja",'Mapa final'!#REF!="Mayor"),CONCATENATE("R10C",'Mapa final'!#REF!),"")</f>
        <v>#REF!</v>
      </c>
      <c r="AC45" s="46" t="e">
        <f>IF(AND('Mapa final'!#REF!="Baja",'Mapa final'!#REF!="Mayor"),CONCATENATE("R10C",'Mapa final'!#REF!),"")</f>
        <v>#REF!</v>
      </c>
      <c r="AD45" s="46" t="e">
        <f>IF(AND('Mapa final'!#REF!="Baja",'Mapa final'!#REF!="Mayor"),CONCATENATE("R10C",'Mapa final'!#REF!),"")</f>
        <v>#REF!</v>
      </c>
      <c r="AE45" s="46" t="e">
        <f>IF(AND('Mapa final'!#REF!="Baja",'Mapa final'!#REF!="Mayor"),CONCATENATE("R10C",'Mapa final'!#REF!),"")</f>
        <v>#REF!</v>
      </c>
      <c r="AF45" s="46" t="e">
        <f>IF(AND('Mapa final'!#REF!="Baja",'Mapa final'!#REF!="Mayor"),CONCATENATE("R10C",'Mapa final'!#REF!),"")</f>
        <v>#REF!</v>
      </c>
      <c r="AG45" s="47" t="e">
        <f>IF(AND('Mapa final'!#REF!="Baja",'Mapa final'!#REF!="Mayor"),CONCATENATE("R10C",'Mapa final'!#REF!),"")</f>
        <v>#REF!</v>
      </c>
      <c r="AH45" s="48" t="e">
        <f>IF(AND('Mapa final'!#REF!="Baja",'Mapa final'!#REF!="Catastrófico"),CONCATENATE("R10C",'Mapa final'!#REF!),"")</f>
        <v>#REF!</v>
      </c>
      <c r="AI45" s="49" t="e">
        <f>IF(AND('Mapa final'!#REF!="Baja",'Mapa final'!#REF!="Catastrófico"),CONCATENATE("R10C",'Mapa final'!#REF!),"")</f>
        <v>#REF!</v>
      </c>
      <c r="AJ45" s="49" t="e">
        <f>IF(AND('Mapa final'!#REF!="Baja",'Mapa final'!#REF!="Catastrófico"),CONCATENATE("R10C",'Mapa final'!#REF!),"")</f>
        <v>#REF!</v>
      </c>
      <c r="AK45" s="49" t="e">
        <f>IF(AND('Mapa final'!#REF!="Baja",'Mapa final'!#REF!="Catastrófico"),CONCATENATE("R10C",'Mapa final'!#REF!),"")</f>
        <v>#REF!</v>
      </c>
      <c r="AL45" s="49" t="e">
        <f>IF(AND('Mapa final'!#REF!="Baja",'Mapa final'!#REF!="Catastrófico"),CONCATENATE("R10C",'Mapa final'!#REF!),"")</f>
        <v>#REF!</v>
      </c>
      <c r="AM45" s="50" t="e">
        <f>IF(AND('Mapa final'!#REF!="Baja",'Mapa final'!#REF!="Catastrófico"),CONCATENATE("R10C",'Mapa final'!#REF!),"")</f>
        <v>#REF!</v>
      </c>
      <c r="AN45" s="70"/>
      <c r="AO45" s="433"/>
      <c r="AP45" s="434"/>
      <c r="AQ45" s="434"/>
      <c r="AR45" s="434"/>
      <c r="AS45" s="434"/>
      <c r="AT45" s="435"/>
    </row>
    <row r="46" spans="1:80" ht="46.5" customHeight="1" x14ac:dyDescent="0.35">
      <c r="A46" s="70"/>
      <c r="B46" s="308"/>
      <c r="C46" s="308"/>
      <c r="D46" s="309"/>
      <c r="E46" s="405" t="s">
        <v>283</v>
      </c>
      <c r="F46" s="406"/>
      <c r="G46" s="406"/>
      <c r="H46" s="406"/>
      <c r="I46" s="424"/>
      <c r="J46" s="60" t="str">
        <f>IF(AND('Mapa final'!$AJ$7="Muy Baja",'Mapa final'!$AL$7="Leve"),CONCATENATE("R1C",'Mapa final'!$V$7),"")</f>
        <v/>
      </c>
      <c r="K46" s="61" t="e">
        <f>IF(AND('Mapa final'!#REF!="Muy Baja",'Mapa final'!#REF!="Leve"),CONCATENATE("R1C",'Mapa final'!#REF!),"")</f>
        <v>#REF!</v>
      </c>
      <c r="L46" s="61" t="e">
        <f>IF(AND('Mapa final'!#REF!="Muy Baja",'Mapa final'!#REF!="Leve"),CONCATENATE("R1C",'Mapa final'!#REF!),"")</f>
        <v>#REF!</v>
      </c>
      <c r="M46" s="61" t="e">
        <f>IF(AND('Mapa final'!#REF!="Muy Baja",'Mapa final'!#REF!="Leve"),CONCATENATE("R1C",'Mapa final'!#REF!),"")</f>
        <v>#REF!</v>
      </c>
      <c r="N46" s="61" t="e">
        <f>IF(AND('Mapa final'!#REF!="Muy Baja",'Mapa final'!#REF!="Leve"),CONCATENATE("R1C",'Mapa final'!#REF!),"")</f>
        <v>#REF!</v>
      </c>
      <c r="O46" s="62" t="e">
        <f>IF(AND('Mapa final'!#REF!="Muy Baja",'Mapa final'!#REF!="Leve"),CONCATENATE("R1C",'Mapa final'!#REF!),"")</f>
        <v>#REF!</v>
      </c>
      <c r="P46" s="60" t="str">
        <f>IF(AND('Mapa final'!$AJ$7="Muy Baja",'Mapa final'!$AL$7="Menor"),CONCATENATE("R1C",'Mapa final'!$V$7),"")</f>
        <v/>
      </c>
      <c r="Q46" s="61" t="e">
        <f>IF(AND('Mapa final'!#REF!="Muy Baja",'Mapa final'!#REF!="Menor"),CONCATENATE("R1C",'Mapa final'!#REF!),"")</f>
        <v>#REF!</v>
      </c>
      <c r="R46" s="61" t="e">
        <f>IF(AND('Mapa final'!#REF!="Muy Baja",'Mapa final'!#REF!="Menor"),CONCATENATE("R1C",'Mapa final'!#REF!),"")</f>
        <v>#REF!</v>
      </c>
      <c r="S46" s="61" t="e">
        <f>IF(AND('Mapa final'!#REF!="Muy Baja",'Mapa final'!#REF!="Menor"),CONCATENATE("R1C",'Mapa final'!#REF!),"")</f>
        <v>#REF!</v>
      </c>
      <c r="T46" s="61" t="e">
        <f>IF(AND('Mapa final'!#REF!="Muy Baja",'Mapa final'!#REF!="Menor"),CONCATENATE("R1C",'Mapa final'!#REF!),"")</f>
        <v>#REF!</v>
      </c>
      <c r="U46" s="62" t="e">
        <f>IF(AND('Mapa final'!#REF!="Muy Baja",'Mapa final'!#REF!="Menor"),CONCATENATE("R1C",'Mapa final'!#REF!),"")</f>
        <v>#REF!</v>
      </c>
      <c r="V46" s="51" t="str">
        <f>IF(AND('Mapa final'!$AJ$7="Muy Baja",'Mapa final'!$AL$7="Moderado"),CONCATENATE("R1C",'Mapa final'!$V$7),"")</f>
        <v/>
      </c>
      <c r="W46" s="69" t="e">
        <f>IF(AND('Mapa final'!#REF!="Muy Baja",'Mapa final'!#REF!="Moderado"),CONCATENATE("R1C",'Mapa final'!#REF!),"")</f>
        <v>#REF!</v>
      </c>
      <c r="X46" s="52" t="e">
        <f>IF(AND('Mapa final'!#REF!="Muy Baja",'Mapa final'!#REF!="Moderado"),CONCATENATE("R1C",'Mapa final'!#REF!),"")</f>
        <v>#REF!</v>
      </c>
      <c r="Y46" s="52" t="e">
        <f>IF(AND('Mapa final'!#REF!="Muy Baja",'Mapa final'!#REF!="Moderado"),CONCATENATE("R1C",'Mapa final'!#REF!),"")</f>
        <v>#REF!</v>
      </c>
      <c r="Z46" s="52" t="e">
        <f>IF(AND('Mapa final'!#REF!="Muy Baja",'Mapa final'!#REF!="Moderado"),CONCATENATE("R1C",'Mapa final'!#REF!),"")</f>
        <v>#REF!</v>
      </c>
      <c r="AA46" s="53" t="e">
        <f>IF(AND('Mapa final'!#REF!="Muy Baja",'Mapa final'!#REF!="Moderado"),CONCATENATE("R1C",'Mapa final'!#REF!),"")</f>
        <v>#REF!</v>
      </c>
      <c r="AB46" s="32" t="str">
        <f>IF(AND('Mapa final'!$AJ$7="Muy Baja",'Mapa final'!$AL$7="Mayor"),CONCATENATE("R1C",'Mapa final'!$V$7),"")</f>
        <v/>
      </c>
      <c r="AC46" s="33" t="e">
        <f>IF(AND('Mapa final'!#REF!="Muy Baja",'Mapa final'!#REF!="Mayor"),CONCATENATE("R1C",'Mapa final'!#REF!),"")</f>
        <v>#REF!</v>
      </c>
      <c r="AD46" s="33" t="e">
        <f>IF(AND('Mapa final'!#REF!="Muy Baja",'Mapa final'!#REF!="Mayor"),CONCATENATE("R1C",'Mapa final'!#REF!),"")</f>
        <v>#REF!</v>
      </c>
      <c r="AE46" s="33" t="e">
        <f>IF(AND('Mapa final'!#REF!="Muy Baja",'Mapa final'!#REF!="Mayor"),CONCATENATE("R1C",'Mapa final'!#REF!),"")</f>
        <v>#REF!</v>
      </c>
      <c r="AF46" s="33" t="e">
        <f>IF(AND('Mapa final'!#REF!="Muy Baja",'Mapa final'!#REF!="Mayor"),CONCATENATE("R1C",'Mapa final'!#REF!),"")</f>
        <v>#REF!</v>
      </c>
      <c r="AG46" s="34" t="e">
        <f>IF(AND('Mapa final'!#REF!="Muy Baja",'Mapa final'!#REF!="Mayor"),CONCATENATE("R1C",'Mapa final'!#REF!),"")</f>
        <v>#REF!</v>
      </c>
      <c r="AH46" s="35" t="str">
        <f>IF(AND('Mapa final'!$AJ$7="Muy Baja",'Mapa final'!$AL$7="Catastrófico"),CONCATENATE("R1C",'Mapa final'!$V$7),"")</f>
        <v/>
      </c>
      <c r="AI46" s="36" t="e">
        <f>IF(AND('Mapa final'!#REF!="Muy Baja",'Mapa final'!#REF!="Catastrófico"),CONCATENATE("R1C",'Mapa final'!#REF!),"")</f>
        <v>#REF!</v>
      </c>
      <c r="AJ46" s="36" t="e">
        <f>IF(AND('Mapa final'!#REF!="Muy Baja",'Mapa final'!#REF!="Catastrófico"),CONCATENATE("R1C",'Mapa final'!#REF!),"")</f>
        <v>#REF!</v>
      </c>
      <c r="AK46" s="36" t="e">
        <f>IF(AND('Mapa final'!#REF!="Muy Baja",'Mapa final'!#REF!="Catastrófico"),CONCATENATE("R1C",'Mapa final'!#REF!),"")</f>
        <v>#REF!</v>
      </c>
      <c r="AL46" s="36" t="e">
        <f>IF(AND('Mapa final'!#REF!="Muy Baja",'Mapa final'!#REF!="Catastrófico"),CONCATENATE("R1C",'Mapa final'!#REF!),"")</f>
        <v>#REF!</v>
      </c>
      <c r="AM46" s="37" t="e">
        <f>IF(AND('Mapa final'!#REF!="Muy Baja",'Mapa final'!#REF!="Catastrófico"),CONCATENATE("R1C",'Mapa final'!#REF!),"")</f>
        <v>#REF!</v>
      </c>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row>
    <row r="47" spans="1:80" ht="46.5" customHeight="1" x14ac:dyDescent="0.25">
      <c r="A47" s="70"/>
      <c r="B47" s="308"/>
      <c r="C47" s="308"/>
      <c r="D47" s="309"/>
      <c r="E47" s="407"/>
      <c r="F47" s="408"/>
      <c r="G47" s="408"/>
      <c r="H47" s="408"/>
      <c r="I47" s="425"/>
      <c r="J47" s="63" t="str">
        <f>IF(AND('Mapa final'!$AJ$8="Muy Baja",'Mapa final'!$AL$8="Leve"),CONCATENATE("R2C",'Mapa final'!$V$8),"")</f>
        <v/>
      </c>
      <c r="K47" s="64" t="str">
        <f>IF(AND('Mapa final'!$AJ$9="Muy Baja",'Mapa final'!$AL$9="Leve"),CONCATENATE("R2C",'Mapa final'!$V$9),"")</f>
        <v/>
      </c>
      <c r="L47" s="64" t="e">
        <f>IF(AND('Mapa final'!#REF!="Muy Baja",'Mapa final'!#REF!="Leve"),CONCATENATE("R2C",'Mapa final'!#REF!),"")</f>
        <v>#REF!</v>
      </c>
      <c r="M47" s="64" t="e">
        <f>IF(AND('Mapa final'!#REF!="Muy Baja",'Mapa final'!#REF!="Leve"),CONCATENATE("R2C",'Mapa final'!#REF!),"")</f>
        <v>#REF!</v>
      </c>
      <c r="N47" s="64" t="e">
        <f>IF(AND('Mapa final'!#REF!="Muy Baja",'Mapa final'!#REF!="Leve"),CONCATENATE("R2C",'Mapa final'!#REF!),"")</f>
        <v>#REF!</v>
      </c>
      <c r="O47" s="65" t="e">
        <f>IF(AND('Mapa final'!#REF!="Muy Baja",'Mapa final'!#REF!="Leve"),CONCATENATE("R2C",'Mapa final'!#REF!),"")</f>
        <v>#REF!</v>
      </c>
      <c r="P47" s="63" t="str">
        <f>IF(AND('Mapa final'!$AJ$8="Muy Baja",'Mapa final'!$AL$8="Menor"),CONCATENATE("R2C",'Mapa final'!$V$8),"")</f>
        <v/>
      </c>
      <c r="Q47" s="64" t="str">
        <f>IF(AND('Mapa final'!$AJ$9="Muy Baja",'Mapa final'!$AL$9="Menor"),CONCATENATE("R2C",'Mapa final'!$V$9),"")</f>
        <v/>
      </c>
      <c r="R47" s="64" t="e">
        <f>IF(AND('Mapa final'!#REF!="Muy Baja",'Mapa final'!#REF!="Menor"),CONCATENATE("R2C",'Mapa final'!#REF!),"")</f>
        <v>#REF!</v>
      </c>
      <c r="S47" s="64" t="e">
        <f>IF(AND('Mapa final'!#REF!="Muy Baja",'Mapa final'!#REF!="Menor"),CONCATENATE("R2C",'Mapa final'!#REF!),"")</f>
        <v>#REF!</v>
      </c>
      <c r="T47" s="64" t="e">
        <f>IF(AND('Mapa final'!#REF!="Muy Baja",'Mapa final'!#REF!="Menor"),CONCATENATE("R2C",'Mapa final'!#REF!),"")</f>
        <v>#REF!</v>
      </c>
      <c r="U47" s="65" t="e">
        <f>IF(AND('Mapa final'!#REF!="Muy Baja",'Mapa final'!#REF!="Menor"),CONCATENATE("R2C",'Mapa final'!#REF!),"")</f>
        <v>#REF!</v>
      </c>
      <c r="V47" s="54" t="str">
        <f>IF(AND('Mapa final'!$AJ$8="Muy Baja",'Mapa final'!$AL$8="Moderado"),CONCATENATE("R2C",'Mapa final'!$V$8),"")</f>
        <v/>
      </c>
      <c r="W47" s="55" t="str">
        <f>IF(AND('Mapa final'!$AJ$9="Muy Baja",'Mapa final'!$AL$9="Moderado"),CONCATENATE("R2C",'Mapa final'!$V$9),"")</f>
        <v/>
      </c>
      <c r="X47" s="55" t="e">
        <f>IF(AND('Mapa final'!#REF!="Muy Baja",'Mapa final'!#REF!="Moderado"),CONCATENATE("R2C",'Mapa final'!#REF!),"")</f>
        <v>#REF!</v>
      </c>
      <c r="Y47" s="55" t="e">
        <f>IF(AND('Mapa final'!#REF!="Muy Baja",'Mapa final'!#REF!="Moderado"),CONCATENATE("R2C",'Mapa final'!#REF!),"")</f>
        <v>#REF!</v>
      </c>
      <c r="Z47" s="55" t="e">
        <f>IF(AND('Mapa final'!#REF!="Muy Baja",'Mapa final'!#REF!="Moderado"),CONCATENATE("R2C",'Mapa final'!#REF!),"")</f>
        <v>#REF!</v>
      </c>
      <c r="AA47" s="56" t="e">
        <f>IF(AND('Mapa final'!#REF!="Muy Baja",'Mapa final'!#REF!="Moderado"),CONCATENATE("R2C",'Mapa final'!#REF!),"")</f>
        <v>#REF!</v>
      </c>
      <c r="AB47" s="38" t="str">
        <f>IF(AND('Mapa final'!$AJ$8="Muy Baja",'Mapa final'!$AL$8="Mayor"),CONCATENATE("R2C",'Mapa final'!$V$8),"")</f>
        <v/>
      </c>
      <c r="AC47" s="39" t="str">
        <f>IF(AND('Mapa final'!$AJ$9="Muy Baja",'Mapa final'!$AL$9="Mayor"),CONCATENATE("R2C",'Mapa final'!$V$9),"")</f>
        <v/>
      </c>
      <c r="AD47" s="39" t="e">
        <f>IF(AND('Mapa final'!#REF!="Muy Baja",'Mapa final'!#REF!="Mayor"),CONCATENATE("R2C",'Mapa final'!#REF!),"")</f>
        <v>#REF!</v>
      </c>
      <c r="AE47" s="39" t="e">
        <f>IF(AND('Mapa final'!#REF!="Muy Baja",'Mapa final'!#REF!="Mayor"),CONCATENATE("R2C",'Mapa final'!#REF!),"")</f>
        <v>#REF!</v>
      </c>
      <c r="AF47" s="39" t="e">
        <f>IF(AND('Mapa final'!#REF!="Muy Baja",'Mapa final'!#REF!="Mayor"),CONCATENATE("R2C",'Mapa final'!#REF!),"")</f>
        <v>#REF!</v>
      </c>
      <c r="AG47" s="40" t="e">
        <f>IF(AND('Mapa final'!#REF!="Muy Baja",'Mapa final'!#REF!="Mayor"),CONCATENATE("R2C",'Mapa final'!#REF!),"")</f>
        <v>#REF!</v>
      </c>
      <c r="AH47" s="41" t="str">
        <f>IF(AND('Mapa final'!$AJ$8="Muy Baja",'Mapa final'!$AL$8="Catastrófico"),CONCATENATE("R2C",'Mapa final'!$V$8),"")</f>
        <v/>
      </c>
      <c r="AI47" s="42" t="str">
        <f>IF(AND('Mapa final'!$AJ$9="Muy Baja",'Mapa final'!$AL$9="Catastrófico"),CONCATENATE("R2C",'Mapa final'!$V$9),"")</f>
        <v/>
      </c>
      <c r="AJ47" s="42" t="e">
        <f>IF(AND('Mapa final'!#REF!="Muy Baja",'Mapa final'!#REF!="Catastrófico"),CONCATENATE("R2C",'Mapa final'!#REF!),"")</f>
        <v>#REF!</v>
      </c>
      <c r="AK47" s="42" t="e">
        <f>IF(AND('Mapa final'!#REF!="Muy Baja",'Mapa final'!#REF!="Catastrófico"),CONCATENATE("R2C",'Mapa final'!#REF!),"")</f>
        <v>#REF!</v>
      </c>
      <c r="AL47" s="42" t="e">
        <f>IF(AND('Mapa final'!#REF!="Muy Baja",'Mapa final'!#REF!="Catastrófico"),CONCATENATE("R2C",'Mapa final'!#REF!),"")</f>
        <v>#REF!</v>
      </c>
      <c r="AM47" s="43" t="e">
        <f>IF(AND('Mapa final'!#REF!="Muy Baja",'Mapa final'!#REF!="Catastrófico"),CONCATENATE("R2C",'Mapa final'!#REF!),"")</f>
        <v>#REF!</v>
      </c>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ht="15" customHeight="1" x14ac:dyDescent="0.25">
      <c r="A48" s="70"/>
      <c r="B48" s="308"/>
      <c r="C48" s="308"/>
      <c r="D48" s="309"/>
      <c r="E48" s="407"/>
      <c r="F48" s="408"/>
      <c r="G48" s="408"/>
      <c r="H48" s="408"/>
      <c r="I48" s="425"/>
      <c r="J48" s="63" t="str">
        <f>IF(AND('Mapa final'!$AJ$10="Muy Baja",'Mapa final'!$AL$10="Leve"),CONCATENATE("R3C",'Mapa final'!$V$10),"")</f>
        <v/>
      </c>
      <c r="K48" s="64" t="str">
        <f>IF(AND('Mapa final'!$AJ$11="Muy Baja",'Mapa final'!$AL$11="Leve"),CONCATENATE("R3C",'Mapa final'!$V$11),"")</f>
        <v/>
      </c>
      <c r="L48" s="64" t="e">
        <f>IF(AND('Mapa final'!#REF!="Muy Baja",'Mapa final'!#REF!="Leve"),CONCATENATE("R3C",'Mapa final'!#REF!),"")</f>
        <v>#REF!</v>
      </c>
      <c r="M48" s="64" t="e">
        <f>IF(AND('Mapa final'!#REF!="Muy Baja",'Mapa final'!#REF!="Leve"),CONCATENATE("R3C",'Mapa final'!#REF!),"")</f>
        <v>#REF!</v>
      </c>
      <c r="N48" s="64" t="e">
        <f>IF(AND('Mapa final'!#REF!="Muy Baja",'Mapa final'!#REF!="Leve"),CONCATENATE("R3C",'Mapa final'!#REF!),"")</f>
        <v>#REF!</v>
      </c>
      <c r="O48" s="65" t="e">
        <f>IF(AND('Mapa final'!#REF!="Muy Baja",'Mapa final'!#REF!="Leve"),CONCATENATE("R3C",'Mapa final'!#REF!),"")</f>
        <v>#REF!</v>
      </c>
      <c r="P48" s="63" t="str">
        <f>IF(AND('Mapa final'!$AJ$10="Muy Baja",'Mapa final'!$AL$10="Menor"),CONCATENATE("R3C",'Mapa final'!$V$10),"")</f>
        <v/>
      </c>
      <c r="Q48" s="64" t="str">
        <f>IF(AND('Mapa final'!$AJ$11="Muy Baja",'Mapa final'!$AL$11="Menor"),CONCATENATE("R3C",'Mapa final'!$V$11),"")</f>
        <v/>
      </c>
      <c r="R48" s="64" t="e">
        <f>IF(AND('Mapa final'!#REF!="Muy Baja",'Mapa final'!#REF!="Menor"),CONCATENATE("R3C",'Mapa final'!#REF!),"")</f>
        <v>#REF!</v>
      </c>
      <c r="S48" s="64" t="e">
        <f>IF(AND('Mapa final'!#REF!="Muy Baja",'Mapa final'!#REF!="Menor"),CONCATENATE("R3C",'Mapa final'!#REF!),"")</f>
        <v>#REF!</v>
      </c>
      <c r="T48" s="64" t="e">
        <f>IF(AND('Mapa final'!#REF!="Muy Baja",'Mapa final'!#REF!="Menor"),CONCATENATE("R3C",'Mapa final'!#REF!),"")</f>
        <v>#REF!</v>
      </c>
      <c r="U48" s="65" t="e">
        <f>IF(AND('Mapa final'!#REF!="Muy Baja",'Mapa final'!#REF!="Menor"),CONCATENATE("R3C",'Mapa final'!#REF!),"")</f>
        <v>#REF!</v>
      </c>
      <c r="V48" s="54" t="str">
        <f>IF(AND('Mapa final'!$AJ$10="Muy Baja",'Mapa final'!$AL$10="Moderado"),CONCATENATE("R3C",'Mapa final'!$V$10),"")</f>
        <v/>
      </c>
      <c r="W48" s="55" t="str">
        <f>IF(AND('Mapa final'!$AJ$11="Muy Baja",'Mapa final'!$AL$11="Moderado"),CONCATENATE("R3C",'Mapa final'!$V$11),"")</f>
        <v/>
      </c>
      <c r="X48" s="55" t="e">
        <f>IF(AND('Mapa final'!#REF!="Muy Baja",'Mapa final'!#REF!="Moderado"),CONCATENATE("R3C",'Mapa final'!#REF!),"")</f>
        <v>#REF!</v>
      </c>
      <c r="Y48" s="55" t="e">
        <f>IF(AND('Mapa final'!#REF!="Muy Baja",'Mapa final'!#REF!="Moderado"),CONCATENATE("R3C",'Mapa final'!#REF!),"")</f>
        <v>#REF!</v>
      </c>
      <c r="Z48" s="55" t="e">
        <f>IF(AND('Mapa final'!#REF!="Muy Baja",'Mapa final'!#REF!="Moderado"),CONCATENATE("R3C",'Mapa final'!#REF!),"")</f>
        <v>#REF!</v>
      </c>
      <c r="AA48" s="56" t="e">
        <f>IF(AND('Mapa final'!#REF!="Muy Baja",'Mapa final'!#REF!="Moderado"),CONCATENATE("R3C",'Mapa final'!#REF!),"")</f>
        <v>#REF!</v>
      </c>
      <c r="AB48" s="38" t="str">
        <f>IF(AND('Mapa final'!$AJ$10="Muy Baja",'Mapa final'!$AL$10="Mayor"),CONCATENATE("R3C",'Mapa final'!$V$10),"")</f>
        <v/>
      </c>
      <c r="AC48" s="39" t="str">
        <f>IF(AND('Mapa final'!$AJ$11="Muy Baja",'Mapa final'!$AL$11="Mayor"),CONCATENATE("R3C",'Mapa final'!$V$11),"")</f>
        <v/>
      </c>
      <c r="AD48" s="39" t="e">
        <f>IF(AND('Mapa final'!#REF!="Muy Baja",'Mapa final'!#REF!="Mayor"),CONCATENATE("R3C",'Mapa final'!#REF!),"")</f>
        <v>#REF!</v>
      </c>
      <c r="AE48" s="39" t="e">
        <f>IF(AND('Mapa final'!#REF!="Muy Baja",'Mapa final'!#REF!="Mayor"),CONCATENATE("R3C",'Mapa final'!#REF!),"")</f>
        <v>#REF!</v>
      </c>
      <c r="AF48" s="39" t="e">
        <f>IF(AND('Mapa final'!#REF!="Muy Baja",'Mapa final'!#REF!="Mayor"),CONCATENATE("R3C",'Mapa final'!#REF!),"")</f>
        <v>#REF!</v>
      </c>
      <c r="AG48" s="40" t="e">
        <f>IF(AND('Mapa final'!#REF!="Muy Baja",'Mapa final'!#REF!="Mayor"),CONCATENATE("R3C",'Mapa final'!#REF!),"")</f>
        <v>#REF!</v>
      </c>
      <c r="AH48" s="41" t="str">
        <f>IF(AND('Mapa final'!$AJ$10="Muy Baja",'Mapa final'!$AL$10="Catastrófico"),CONCATENATE("R3C",'Mapa final'!$V$10),"")</f>
        <v/>
      </c>
      <c r="AI48" s="42" t="str">
        <f>IF(AND('Mapa final'!$AJ$11="Muy Baja",'Mapa final'!$AL$11="Catastrófico"),CONCATENATE("R3C",'Mapa final'!$V$11),"")</f>
        <v/>
      </c>
      <c r="AJ48" s="42" t="e">
        <f>IF(AND('Mapa final'!#REF!="Muy Baja",'Mapa final'!#REF!="Catastrófico"),CONCATENATE("R3C",'Mapa final'!#REF!),"")</f>
        <v>#REF!</v>
      </c>
      <c r="AK48" s="42" t="e">
        <f>IF(AND('Mapa final'!#REF!="Muy Baja",'Mapa final'!#REF!="Catastrófico"),CONCATENATE("R3C",'Mapa final'!#REF!),"")</f>
        <v>#REF!</v>
      </c>
      <c r="AL48" s="42" t="e">
        <f>IF(AND('Mapa final'!#REF!="Muy Baja",'Mapa final'!#REF!="Catastrófico"),CONCATENATE("R3C",'Mapa final'!#REF!),"")</f>
        <v>#REF!</v>
      </c>
      <c r="AM48" s="43" t="e">
        <f>IF(AND('Mapa final'!#REF!="Muy Baja",'Mapa final'!#REF!="Catastrófico"),CONCATENATE("R3C",'Mapa final'!#REF!),"")</f>
        <v>#REF!</v>
      </c>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1:80" ht="15" customHeight="1" x14ac:dyDescent="0.25">
      <c r="A49" s="70"/>
      <c r="B49" s="308"/>
      <c r="C49" s="308"/>
      <c r="D49" s="309"/>
      <c r="E49" s="409"/>
      <c r="F49" s="410"/>
      <c r="G49" s="410"/>
      <c r="H49" s="410"/>
      <c r="I49" s="425"/>
      <c r="J49" s="63" t="str">
        <f>IF(AND('Mapa final'!$AJ$12="Muy Baja",'Mapa final'!$AL$12="Leve"),CONCATENATE("R4C",'Mapa final'!$V$12),"")</f>
        <v/>
      </c>
      <c r="K49" s="64" t="str">
        <f>IF(AND('Mapa final'!$AJ$13="Muy Baja",'Mapa final'!$AL$13="Leve"),CONCATENATE("R4C",'Mapa final'!$V$13),"")</f>
        <v/>
      </c>
      <c r="L49" s="64" t="str">
        <f>IF(AND('Mapa final'!$AJ$14="Muy Baja",'Mapa final'!$AL$14="Leve"),CONCATENATE("R4C",'Mapa final'!$V$14),"")</f>
        <v/>
      </c>
      <c r="M49" s="64" t="e">
        <f>IF(AND('Mapa final'!#REF!="Muy Baja",'Mapa final'!#REF!="Leve"),CONCATENATE("R4C",'Mapa final'!#REF!),"")</f>
        <v>#REF!</v>
      </c>
      <c r="N49" s="64" t="e">
        <f>IF(AND('Mapa final'!#REF!="Muy Baja",'Mapa final'!#REF!="Leve"),CONCATENATE("R4C",'Mapa final'!#REF!),"")</f>
        <v>#REF!</v>
      </c>
      <c r="O49" s="65" t="e">
        <f>IF(AND('Mapa final'!#REF!="Muy Baja",'Mapa final'!#REF!="Leve"),CONCATENATE("R4C",'Mapa final'!#REF!),"")</f>
        <v>#REF!</v>
      </c>
      <c r="P49" s="63" t="str">
        <f>IF(AND('Mapa final'!$AJ$12="Muy Baja",'Mapa final'!$AL$12="Menor"),CONCATENATE("R4C",'Mapa final'!$V$12),"")</f>
        <v/>
      </c>
      <c r="Q49" s="64" t="str">
        <f>IF(AND('Mapa final'!$AJ$13="Muy Baja",'Mapa final'!$AL$13="Menor"),CONCATENATE("R4C",'Mapa final'!$V$13),"")</f>
        <v/>
      </c>
      <c r="R49" s="64" t="str">
        <f>IF(AND('Mapa final'!$AJ$14="Muy Baja",'Mapa final'!$AL$14="Menor"),CONCATENATE("R4C",'Mapa final'!$V$14),"")</f>
        <v/>
      </c>
      <c r="S49" s="64" t="e">
        <f>IF(AND('Mapa final'!#REF!="Muy Baja",'Mapa final'!#REF!="Menor"),CONCATENATE("R4C",'Mapa final'!#REF!),"")</f>
        <v>#REF!</v>
      </c>
      <c r="T49" s="64" t="e">
        <f>IF(AND('Mapa final'!#REF!="Muy Baja",'Mapa final'!#REF!="Menor"),CONCATENATE("R4C",'Mapa final'!#REF!),"")</f>
        <v>#REF!</v>
      </c>
      <c r="U49" s="65" t="e">
        <f>IF(AND('Mapa final'!#REF!="Muy Baja",'Mapa final'!#REF!="Menor"),CONCATENATE("R4C",'Mapa final'!#REF!),"")</f>
        <v>#REF!</v>
      </c>
      <c r="V49" s="54" t="str">
        <f>IF(AND('Mapa final'!$AJ$12="Muy Baja",'Mapa final'!$AL$12="Moderado"),CONCATENATE("R4C",'Mapa final'!$V$12),"")</f>
        <v>R4C1</v>
      </c>
      <c r="W49" s="55" t="str">
        <f>IF(AND('Mapa final'!$AJ$13="Muy Baja",'Mapa final'!$AL$13="Moderado"),CONCATENATE("R4C",'Mapa final'!$V$13),"")</f>
        <v>R4C2</v>
      </c>
      <c r="X49" s="55" t="str">
        <f>IF(AND('Mapa final'!$AJ$14="Muy Baja",'Mapa final'!$AL$14="Moderado"),CONCATENATE("R4C",'Mapa final'!$V$14),"")</f>
        <v>R4C3</v>
      </c>
      <c r="Y49" s="55" t="e">
        <f>IF(AND('Mapa final'!#REF!="Muy Baja",'Mapa final'!#REF!="Moderado"),CONCATENATE("R4C",'Mapa final'!#REF!),"")</f>
        <v>#REF!</v>
      </c>
      <c r="Z49" s="55" t="e">
        <f>IF(AND('Mapa final'!#REF!="Muy Baja",'Mapa final'!#REF!="Moderado"),CONCATENATE("R4C",'Mapa final'!#REF!),"")</f>
        <v>#REF!</v>
      </c>
      <c r="AA49" s="56" t="e">
        <f>IF(AND('Mapa final'!#REF!="Muy Baja",'Mapa final'!#REF!="Moderado"),CONCATENATE("R4C",'Mapa final'!#REF!),"")</f>
        <v>#REF!</v>
      </c>
      <c r="AB49" s="38" t="str">
        <f>IF(AND('Mapa final'!$AJ$12="Muy Baja",'Mapa final'!$AL$12="Mayor"),CONCATENATE("R4C",'Mapa final'!$V$12),"")</f>
        <v/>
      </c>
      <c r="AC49" s="39" t="str">
        <f>IF(AND('Mapa final'!$AJ$13="Muy Baja",'Mapa final'!$AL$13="Mayor"),CONCATENATE("R4C",'Mapa final'!$V$13),"")</f>
        <v/>
      </c>
      <c r="AD49" s="39" t="str">
        <f>IF(AND('Mapa final'!$AJ$14="Muy Baja",'Mapa final'!$AL$14="Mayor"),CONCATENATE("R4C",'Mapa final'!$V$14),"")</f>
        <v/>
      </c>
      <c r="AE49" s="39" t="e">
        <f>IF(AND('Mapa final'!#REF!="Muy Baja",'Mapa final'!#REF!="Mayor"),CONCATENATE("R4C",'Mapa final'!#REF!),"")</f>
        <v>#REF!</v>
      </c>
      <c r="AF49" s="39" t="e">
        <f>IF(AND('Mapa final'!#REF!="Muy Baja",'Mapa final'!#REF!="Mayor"),CONCATENATE("R4C",'Mapa final'!#REF!),"")</f>
        <v>#REF!</v>
      </c>
      <c r="AG49" s="40" t="e">
        <f>IF(AND('Mapa final'!#REF!="Muy Baja",'Mapa final'!#REF!="Mayor"),CONCATENATE("R4C",'Mapa final'!#REF!),"")</f>
        <v>#REF!</v>
      </c>
      <c r="AH49" s="41" t="str">
        <f>IF(AND('Mapa final'!$AJ$12="Muy Baja",'Mapa final'!$AL$12="Catastrófico"),CONCATENATE("R4C",'Mapa final'!$V$12),"")</f>
        <v/>
      </c>
      <c r="AI49" s="42" t="str">
        <f>IF(AND('Mapa final'!$AJ$13="Muy Baja",'Mapa final'!$AL$13="Catastrófico"),CONCATENATE("R4C",'Mapa final'!$V$13),"")</f>
        <v/>
      </c>
      <c r="AJ49" s="42" t="str">
        <f>IF(AND('Mapa final'!$AJ$14="Muy Baja",'Mapa final'!$AL$14="Catastrófico"),CONCATENATE("R4C",'Mapa final'!$V$14),"")</f>
        <v/>
      </c>
      <c r="AK49" s="42" t="e">
        <f>IF(AND('Mapa final'!#REF!="Muy Baja",'Mapa final'!#REF!="Catastrófico"),CONCATENATE("R4C",'Mapa final'!#REF!),"")</f>
        <v>#REF!</v>
      </c>
      <c r="AL49" s="42" t="e">
        <f>IF(AND('Mapa final'!#REF!="Muy Baja",'Mapa final'!#REF!="Catastrófico"),CONCATENATE("R4C",'Mapa final'!#REF!),"")</f>
        <v>#REF!</v>
      </c>
      <c r="AM49" s="43" t="e">
        <f>IF(AND('Mapa final'!#REF!="Muy Baja",'Mapa final'!#REF!="Catastrófico"),CONCATENATE("R4C",'Mapa final'!#REF!),"")</f>
        <v>#REF!</v>
      </c>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row>
    <row r="50" spans="1:80" ht="15" customHeight="1" x14ac:dyDescent="0.25">
      <c r="A50" s="70"/>
      <c r="B50" s="308"/>
      <c r="C50" s="308"/>
      <c r="D50" s="309"/>
      <c r="E50" s="409"/>
      <c r="F50" s="410"/>
      <c r="G50" s="410"/>
      <c r="H50" s="410"/>
      <c r="I50" s="425"/>
      <c r="J50" s="63" t="str">
        <f>IF(AND('Mapa final'!$AJ$15="Muy Baja",'Mapa final'!$AL$15="Leve"),CONCATENATE("R5C",'Mapa final'!$V$15),"")</f>
        <v/>
      </c>
      <c r="K50" s="64" t="str">
        <f>IF(AND('Mapa final'!$AJ$16="Muy Baja",'Mapa final'!$AL$16="Leve"),CONCATENATE("R5C",'Mapa final'!$V$16),"")</f>
        <v/>
      </c>
      <c r="L50" s="64" t="e">
        <f>IF(AND('Mapa final'!#REF!="Muy Baja",'Mapa final'!#REF!="Leve"),CONCATENATE("R5C",'Mapa final'!#REF!),"")</f>
        <v>#REF!</v>
      </c>
      <c r="M50" s="64" t="e">
        <f>IF(AND('Mapa final'!#REF!="Muy Baja",'Mapa final'!#REF!="Leve"),CONCATENATE("R5C",'Mapa final'!#REF!),"")</f>
        <v>#REF!</v>
      </c>
      <c r="N50" s="64" t="e">
        <f>IF(AND('Mapa final'!#REF!="Muy Baja",'Mapa final'!#REF!="Leve"),CONCATENATE("R5C",'Mapa final'!#REF!),"")</f>
        <v>#REF!</v>
      </c>
      <c r="O50" s="65" t="e">
        <f>IF(AND('Mapa final'!#REF!="Muy Baja",'Mapa final'!#REF!="Leve"),CONCATENATE("R5C",'Mapa final'!#REF!),"")</f>
        <v>#REF!</v>
      </c>
      <c r="P50" s="63" t="str">
        <f>IF(AND('Mapa final'!$AJ$15="Muy Baja",'Mapa final'!$AL$15="Menor"),CONCATENATE("R5C",'Mapa final'!$V$15),"")</f>
        <v/>
      </c>
      <c r="Q50" s="64" t="str">
        <f>IF(AND('Mapa final'!$AJ$16="Muy Baja",'Mapa final'!$AL$16="Menor"),CONCATENATE("R5C",'Mapa final'!$V$16),"")</f>
        <v/>
      </c>
      <c r="R50" s="64" t="e">
        <f>IF(AND('Mapa final'!#REF!="Muy Baja",'Mapa final'!#REF!="Menor"),CONCATENATE("R5C",'Mapa final'!#REF!),"")</f>
        <v>#REF!</v>
      </c>
      <c r="S50" s="64" t="e">
        <f>IF(AND('Mapa final'!#REF!="Muy Baja",'Mapa final'!#REF!="Menor"),CONCATENATE("R5C",'Mapa final'!#REF!),"")</f>
        <v>#REF!</v>
      </c>
      <c r="T50" s="64" t="e">
        <f>IF(AND('Mapa final'!#REF!="Muy Baja",'Mapa final'!#REF!="Menor"),CONCATENATE("R5C",'Mapa final'!#REF!),"")</f>
        <v>#REF!</v>
      </c>
      <c r="U50" s="65" t="e">
        <f>IF(AND('Mapa final'!#REF!="Muy Baja",'Mapa final'!#REF!="Menor"),CONCATENATE("R5C",'Mapa final'!#REF!),"")</f>
        <v>#REF!</v>
      </c>
      <c r="V50" s="54" t="str">
        <f>IF(AND('Mapa final'!$AJ$15="Muy Baja",'Mapa final'!$AL$15="Moderado"),CONCATENATE("R5C",'Mapa final'!$V$15),"")</f>
        <v/>
      </c>
      <c r="W50" s="55" t="str">
        <f>IF(AND('Mapa final'!$AJ$16="Muy Baja",'Mapa final'!$AL$16="Moderado"),CONCATENATE("R5C",'Mapa final'!$V$16),"")</f>
        <v>R5C2</v>
      </c>
      <c r="X50" s="55" t="e">
        <f>IF(AND('Mapa final'!#REF!="Muy Baja",'Mapa final'!#REF!="Moderado"),CONCATENATE("R5C",'Mapa final'!#REF!),"")</f>
        <v>#REF!</v>
      </c>
      <c r="Y50" s="55" t="e">
        <f>IF(AND('Mapa final'!#REF!="Muy Baja",'Mapa final'!#REF!="Moderado"),CONCATENATE("R5C",'Mapa final'!#REF!),"")</f>
        <v>#REF!</v>
      </c>
      <c r="Z50" s="55" t="e">
        <f>IF(AND('Mapa final'!#REF!="Muy Baja",'Mapa final'!#REF!="Moderado"),CONCATENATE("R5C",'Mapa final'!#REF!),"")</f>
        <v>#REF!</v>
      </c>
      <c r="AA50" s="56" t="e">
        <f>IF(AND('Mapa final'!#REF!="Muy Baja",'Mapa final'!#REF!="Moderado"),CONCATENATE("R5C",'Mapa final'!#REF!),"")</f>
        <v>#REF!</v>
      </c>
      <c r="AB50" s="38" t="str">
        <f>IF(AND('Mapa final'!$AJ$15="Muy Baja",'Mapa final'!$AL$15="Mayor"),CONCATENATE("R5C",'Mapa final'!$V$15),"")</f>
        <v/>
      </c>
      <c r="AC50" s="39" t="str">
        <f>IF(AND('Mapa final'!$AJ$16="Muy Baja",'Mapa final'!$AL$16="Mayor"),CONCATENATE("R5C",'Mapa final'!$V$16),"")</f>
        <v/>
      </c>
      <c r="AD50" s="44" t="e">
        <f>IF(AND('Mapa final'!#REF!="Muy Baja",'Mapa final'!#REF!="Mayor"),CONCATENATE("R5C",'Mapa final'!#REF!),"")</f>
        <v>#REF!</v>
      </c>
      <c r="AE50" s="44" t="e">
        <f>IF(AND('Mapa final'!#REF!="Muy Baja",'Mapa final'!#REF!="Mayor"),CONCATENATE("R5C",'Mapa final'!#REF!),"")</f>
        <v>#REF!</v>
      </c>
      <c r="AF50" s="44" t="e">
        <f>IF(AND('Mapa final'!#REF!="Muy Baja",'Mapa final'!#REF!="Mayor"),CONCATENATE("R5C",'Mapa final'!#REF!),"")</f>
        <v>#REF!</v>
      </c>
      <c r="AG50" s="40" t="e">
        <f>IF(AND('Mapa final'!#REF!="Muy Baja",'Mapa final'!#REF!="Mayor"),CONCATENATE("R5C",'Mapa final'!#REF!),"")</f>
        <v>#REF!</v>
      </c>
      <c r="AH50" s="41" t="str">
        <f>IF(AND('Mapa final'!$AJ$15="Muy Baja",'Mapa final'!$AL$15="Catastrófico"),CONCATENATE("R5C",'Mapa final'!$V$15),"")</f>
        <v/>
      </c>
      <c r="AI50" s="42" t="str">
        <f>IF(AND('Mapa final'!$AJ$16="Muy Baja",'Mapa final'!$AL$16="Catastrófico"),CONCATENATE("R5C",'Mapa final'!$V$16),"")</f>
        <v/>
      </c>
      <c r="AJ50" s="42" t="e">
        <f>IF(AND('Mapa final'!#REF!="Muy Baja",'Mapa final'!#REF!="Catastrófico"),CONCATENATE("R5C",'Mapa final'!#REF!),"")</f>
        <v>#REF!</v>
      </c>
      <c r="AK50" s="42" t="e">
        <f>IF(AND('Mapa final'!#REF!="Muy Baja",'Mapa final'!#REF!="Catastrófico"),CONCATENATE("R5C",'Mapa final'!#REF!),"")</f>
        <v>#REF!</v>
      </c>
      <c r="AL50" s="42" t="e">
        <f>IF(AND('Mapa final'!#REF!="Muy Baja",'Mapa final'!#REF!="Catastrófico"),CONCATENATE("R5C",'Mapa final'!#REF!),"")</f>
        <v>#REF!</v>
      </c>
      <c r="AM50" s="43" t="e">
        <f>IF(AND('Mapa final'!#REF!="Muy Baja",'Mapa final'!#REF!="Catastrófico"),CONCATENATE("R5C",'Mapa final'!#REF!),"")</f>
        <v>#REF!</v>
      </c>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row>
    <row r="51" spans="1:80" ht="15" customHeight="1" x14ac:dyDescent="0.25">
      <c r="A51" s="70"/>
      <c r="B51" s="308"/>
      <c r="C51" s="308"/>
      <c r="D51" s="309"/>
      <c r="E51" s="409"/>
      <c r="F51" s="410"/>
      <c r="G51" s="410"/>
      <c r="H51" s="410"/>
      <c r="I51" s="425"/>
      <c r="J51" s="63" t="str">
        <f>IF(AND('Mapa final'!$AJ$17="Muy Baja",'Mapa final'!$AL$17="Leve"),CONCATENATE("R6C",'Mapa final'!$V$17),"")</f>
        <v/>
      </c>
      <c r="K51" s="64" t="str">
        <f>IF(AND('Mapa final'!$AJ$18="Muy Baja",'Mapa final'!$AL$18="Leve"),CONCATENATE("R6C",'Mapa final'!$V$18),"")</f>
        <v/>
      </c>
      <c r="L51" s="64" t="e">
        <f>IF(AND('Mapa final'!#REF!="Muy Baja",'Mapa final'!#REF!="Leve"),CONCATENATE("R6C",'Mapa final'!#REF!),"")</f>
        <v>#REF!</v>
      </c>
      <c r="M51" s="64" t="str">
        <f>IF(AND('Mapa final'!$AJ$19="Muy Baja",'Mapa final'!$AL$19="Leve"),CONCATENATE("R6C",'Mapa final'!$V$19),"")</f>
        <v/>
      </c>
      <c r="N51" s="64" t="e">
        <f>IF(AND('Mapa final'!#REF!="Muy Baja",'Mapa final'!#REF!="Leve"),CONCATENATE("R6C",'Mapa final'!#REF!),"")</f>
        <v>#REF!</v>
      </c>
      <c r="O51" s="65" t="e">
        <f>IF(AND('Mapa final'!#REF!="Muy Baja",'Mapa final'!#REF!="Leve"),CONCATENATE("R6C",'Mapa final'!#REF!),"")</f>
        <v>#REF!</v>
      </c>
      <c r="P51" s="63" t="str">
        <f>IF(AND('Mapa final'!$AJ$17="Muy Baja",'Mapa final'!$AL$17="Menor"),CONCATENATE("R6C",'Mapa final'!$V$17),"")</f>
        <v/>
      </c>
      <c r="Q51" s="64" t="str">
        <f>IF(AND('Mapa final'!$AJ$18="Muy Baja",'Mapa final'!$AL$18="Menor"),CONCATENATE("R6C",'Mapa final'!$V$18),"")</f>
        <v/>
      </c>
      <c r="R51" s="64" t="e">
        <f>IF(AND('Mapa final'!#REF!="Muy Baja",'Mapa final'!#REF!="Menor"),CONCATENATE("R6C",'Mapa final'!#REF!),"")</f>
        <v>#REF!</v>
      </c>
      <c r="S51" s="64" t="str">
        <f>IF(AND('Mapa final'!$AJ$19="Muy Baja",'Mapa final'!$AL$19="Menor"),CONCATENATE("R6C",'Mapa final'!$V$19),"")</f>
        <v/>
      </c>
      <c r="T51" s="64" t="e">
        <f>IF(AND('Mapa final'!#REF!="Muy Baja",'Mapa final'!#REF!="Menor"),CONCATENATE("R6C",'Mapa final'!#REF!),"")</f>
        <v>#REF!</v>
      </c>
      <c r="U51" s="65" t="e">
        <f>IF(AND('Mapa final'!#REF!="Muy Baja",'Mapa final'!#REF!="Menor"),CONCATENATE("R6C",'Mapa final'!#REF!),"")</f>
        <v>#REF!</v>
      </c>
      <c r="V51" s="54" t="str">
        <f>IF(AND('Mapa final'!$AJ$17="Muy Baja",'Mapa final'!$AL$17="Moderado"),CONCATENATE("R6C",'Mapa final'!$V$17),"")</f>
        <v/>
      </c>
      <c r="W51" s="55" t="str">
        <f>IF(AND('Mapa final'!$AJ$18="Muy Baja",'Mapa final'!$AL$18="Moderado"),CONCATENATE("R6C",'Mapa final'!$V$18),"")</f>
        <v>R6C2</v>
      </c>
      <c r="X51" s="55" t="e">
        <f>IF(AND('Mapa final'!#REF!="Muy Baja",'Mapa final'!#REF!="Moderado"),CONCATENATE("R6C",'Mapa final'!#REF!),"")</f>
        <v>#REF!</v>
      </c>
      <c r="Y51" s="55" t="str">
        <f>IF(AND('Mapa final'!$AJ$19="Muy Baja",'Mapa final'!$AL$19="Moderado"),CONCATENATE("R6C",'Mapa final'!$V$19),"")</f>
        <v/>
      </c>
      <c r="Z51" s="55" t="e">
        <f>IF(AND('Mapa final'!#REF!="Muy Baja",'Mapa final'!#REF!="Moderado"),CONCATENATE("R6C",'Mapa final'!#REF!),"")</f>
        <v>#REF!</v>
      </c>
      <c r="AA51" s="56" t="e">
        <f>IF(AND('Mapa final'!#REF!="Muy Baja",'Mapa final'!#REF!="Moderado"),CONCATENATE("R6C",'Mapa final'!#REF!),"")</f>
        <v>#REF!</v>
      </c>
      <c r="AB51" s="38" t="str">
        <f>IF(AND('Mapa final'!$AJ$17="Muy Baja",'Mapa final'!$AL$17="Mayor"),CONCATENATE("R6C",'Mapa final'!$V$17),"")</f>
        <v/>
      </c>
      <c r="AC51" s="39" t="str">
        <f>IF(AND('Mapa final'!$AJ$18="Muy Baja",'Mapa final'!$AL$18="Mayor"),CONCATENATE("R6C",'Mapa final'!$V$18),"")</f>
        <v/>
      </c>
      <c r="AD51" s="44" t="e">
        <f>IF(AND('Mapa final'!#REF!="Muy Baja",'Mapa final'!#REF!="Mayor"),CONCATENATE("R6C",'Mapa final'!#REF!),"")</f>
        <v>#REF!</v>
      </c>
      <c r="AE51" s="44" t="str">
        <f>IF(AND('Mapa final'!$AJ$19="Muy Baja",'Mapa final'!$AL$19="Mayor"),CONCATENATE("R6C",'Mapa final'!$V$19),"")</f>
        <v/>
      </c>
      <c r="AF51" s="44" t="e">
        <f>IF(AND('Mapa final'!#REF!="Muy Baja",'Mapa final'!#REF!="Mayor"),CONCATENATE("R6C",'Mapa final'!#REF!),"")</f>
        <v>#REF!</v>
      </c>
      <c r="AG51" s="40" t="e">
        <f>IF(AND('Mapa final'!#REF!="Muy Baja",'Mapa final'!#REF!="Mayor"),CONCATENATE("R6C",'Mapa final'!#REF!),"")</f>
        <v>#REF!</v>
      </c>
      <c r="AH51" s="41" t="str">
        <f>IF(AND('Mapa final'!$AJ$17="Muy Baja",'Mapa final'!$AL$17="Catastrófico"),CONCATENATE("R6C",'Mapa final'!$V$17),"")</f>
        <v/>
      </c>
      <c r="AI51" s="42" t="str">
        <f>IF(AND('Mapa final'!$AJ$18="Muy Baja",'Mapa final'!$AL$18="Catastrófico"),CONCATENATE("R6C",'Mapa final'!$V$18),"")</f>
        <v/>
      </c>
      <c r="AJ51" s="42" t="e">
        <f>IF(AND('Mapa final'!#REF!="Muy Baja",'Mapa final'!#REF!="Catastrófico"),CONCATENATE("R6C",'Mapa final'!#REF!),"")</f>
        <v>#REF!</v>
      </c>
      <c r="AK51" s="42" t="str">
        <f>IF(AND('Mapa final'!$AJ$19="Muy Baja",'Mapa final'!$AL$19="Catastrófico"),CONCATENATE("R6C",'Mapa final'!$V$19),"")</f>
        <v/>
      </c>
      <c r="AL51" s="42" t="e">
        <f>IF(AND('Mapa final'!#REF!="Muy Baja",'Mapa final'!#REF!="Catastrófico"),CONCATENATE("R6C",'Mapa final'!#REF!),"")</f>
        <v>#REF!</v>
      </c>
      <c r="AM51" s="43" t="e">
        <f>IF(AND('Mapa final'!#REF!="Muy Baja",'Mapa final'!#REF!="Catastrófico"),CONCATENATE("R6C",'Mapa final'!#REF!),"")</f>
        <v>#REF!</v>
      </c>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row>
    <row r="52" spans="1:80" ht="15" customHeight="1" x14ac:dyDescent="0.25">
      <c r="A52" s="70"/>
      <c r="B52" s="308"/>
      <c r="C52" s="308"/>
      <c r="D52" s="309"/>
      <c r="E52" s="409"/>
      <c r="F52" s="410"/>
      <c r="G52" s="410"/>
      <c r="H52" s="410"/>
      <c r="I52" s="425"/>
      <c r="J52" s="63" t="str">
        <f>IF(AND('Mapa final'!$AJ$20="Muy Baja",'Mapa final'!$AL$20="Leve"),CONCATENATE("R7C",'Mapa final'!$V$20),"")</f>
        <v/>
      </c>
      <c r="K52" s="64" t="str">
        <f>IF(AND('Mapa final'!$AJ$21="Muy Baja",'Mapa final'!$AL$21="Leve"),CONCATENATE("R7C",'Mapa final'!$V$21),"")</f>
        <v/>
      </c>
      <c r="L52" s="64" t="e">
        <f>IF(AND('Mapa final'!#REF!="Muy Baja",'Mapa final'!#REF!="Leve"),CONCATENATE("R7C",'Mapa final'!#REF!),"")</f>
        <v>#REF!</v>
      </c>
      <c r="M52" s="64" t="e">
        <f>IF(AND('Mapa final'!#REF!="Muy Baja",'Mapa final'!#REF!="Leve"),CONCATENATE("R7C",'Mapa final'!#REF!),"")</f>
        <v>#REF!</v>
      </c>
      <c r="N52" s="64" t="e">
        <f>IF(AND('Mapa final'!#REF!="Muy Baja",'Mapa final'!#REF!="Leve"),CONCATENATE("R7C",'Mapa final'!#REF!),"")</f>
        <v>#REF!</v>
      </c>
      <c r="O52" s="65" t="e">
        <f>IF(AND('Mapa final'!#REF!="Muy Baja",'Mapa final'!#REF!="Leve"),CONCATENATE("R7C",'Mapa final'!#REF!),"")</f>
        <v>#REF!</v>
      </c>
      <c r="P52" s="63" t="str">
        <f>IF(AND('Mapa final'!$AJ$20="Muy Baja",'Mapa final'!$AL$20="Menor"),CONCATENATE("R7C",'Mapa final'!$V$20),"")</f>
        <v/>
      </c>
      <c r="Q52" s="64" t="str">
        <f>IF(AND('Mapa final'!$AJ$21="Muy Baja",'Mapa final'!$AL$21="Menor"),CONCATENATE("R7C",'Mapa final'!$V$21),"")</f>
        <v/>
      </c>
      <c r="R52" s="64" t="e">
        <f>IF(AND('Mapa final'!#REF!="Muy Baja",'Mapa final'!#REF!="Menor"),CONCATENATE("R7C",'Mapa final'!#REF!),"")</f>
        <v>#REF!</v>
      </c>
      <c r="S52" s="64" t="e">
        <f>IF(AND('Mapa final'!#REF!="Muy Baja",'Mapa final'!#REF!="Menor"),CONCATENATE("R7C",'Mapa final'!#REF!),"")</f>
        <v>#REF!</v>
      </c>
      <c r="T52" s="64" t="e">
        <f>IF(AND('Mapa final'!#REF!="Muy Baja",'Mapa final'!#REF!="Menor"),CONCATENATE("R7C",'Mapa final'!#REF!),"")</f>
        <v>#REF!</v>
      </c>
      <c r="U52" s="65" t="e">
        <f>IF(AND('Mapa final'!#REF!="Muy Baja",'Mapa final'!#REF!="Menor"),CONCATENATE("R7C",'Mapa final'!#REF!),"")</f>
        <v>#REF!</v>
      </c>
      <c r="V52" s="54" t="str">
        <f>IF(AND('Mapa final'!$AJ$20="Muy Baja",'Mapa final'!$AL$20="Moderado"),CONCATENATE("R7C",'Mapa final'!$V$20),"")</f>
        <v/>
      </c>
      <c r="W52" s="55" t="str">
        <f>IF(AND('Mapa final'!$AJ$21="Muy Baja",'Mapa final'!$AL$21="Moderado"),CONCATENATE("R7C",'Mapa final'!$V$21),"")</f>
        <v/>
      </c>
      <c r="X52" s="55" t="e">
        <f>IF(AND('Mapa final'!#REF!="Muy Baja",'Mapa final'!#REF!="Moderado"),CONCATENATE("R7C",'Mapa final'!#REF!),"")</f>
        <v>#REF!</v>
      </c>
      <c r="Y52" s="55" t="e">
        <f>IF(AND('Mapa final'!#REF!="Muy Baja",'Mapa final'!#REF!="Moderado"),CONCATENATE("R7C",'Mapa final'!#REF!),"")</f>
        <v>#REF!</v>
      </c>
      <c r="Z52" s="55" t="e">
        <f>IF(AND('Mapa final'!#REF!="Muy Baja",'Mapa final'!#REF!="Moderado"),CONCATENATE("R7C",'Mapa final'!#REF!),"")</f>
        <v>#REF!</v>
      </c>
      <c r="AA52" s="56" t="e">
        <f>IF(AND('Mapa final'!#REF!="Muy Baja",'Mapa final'!#REF!="Moderado"),CONCATENATE("R7C",'Mapa final'!#REF!),"")</f>
        <v>#REF!</v>
      </c>
      <c r="AB52" s="38" t="str">
        <f>IF(AND('Mapa final'!$AJ$20="Muy Baja",'Mapa final'!$AL$20="Mayor"),CONCATENATE("R7C",'Mapa final'!$V$20),"")</f>
        <v/>
      </c>
      <c r="AC52" s="39" t="str">
        <f>IF(AND('Mapa final'!$AJ$21="Muy Baja",'Mapa final'!$AL$21="Mayor"),CONCATENATE("R7C",'Mapa final'!$V$21),"")</f>
        <v/>
      </c>
      <c r="AD52" s="44" t="e">
        <f>IF(AND('Mapa final'!#REF!="Muy Baja",'Mapa final'!#REF!="Mayor"),CONCATENATE("R7C",'Mapa final'!#REF!),"")</f>
        <v>#REF!</v>
      </c>
      <c r="AE52" s="44" t="e">
        <f>IF(AND('Mapa final'!#REF!="Muy Baja",'Mapa final'!#REF!="Mayor"),CONCATENATE("R7C",'Mapa final'!#REF!),"")</f>
        <v>#REF!</v>
      </c>
      <c r="AF52" s="44" t="e">
        <f>IF(AND('Mapa final'!#REF!="Muy Baja",'Mapa final'!#REF!="Mayor"),CONCATENATE("R7C",'Mapa final'!#REF!),"")</f>
        <v>#REF!</v>
      </c>
      <c r="AG52" s="40" t="e">
        <f>IF(AND('Mapa final'!#REF!="Muy Baja",'Mapa final'!#REF!="Mayor"),CONCATENATE("R7C",'Mapa final'!#REF!),"")</f>
        <v>#REF!</v>
      </c>
      <c r="AH52" s="41" t="str">
        <f>IF(AND('Mapa final'!$AJ$20="Muy Baja",'Mapa final'!$AL$20="Catastrófico"),CONCATENATE("R7C",'Mapa final'!$V$20),"")</f>
        <v/>
      </c>
      <c r="AI52" s="42" t="str">
        <f>IF(AND('Mapa final'!$AJ$21="Muy Baja",'Mapa final'!$AL$21="Catastrófico"),CONCATENATE("R7C",'Mapa final'!$V$21),"")</f>
        <v/>
      </c>
      <c r="AJ52" s="42" t="e">
        <f>IF(AND('Mapa final'!#REF!="Muy Baja",'Mapa final'!#REF!="Catastrófico"),CONCATENATE("R7C",'Mapa final'!#REF!),"")</f>
        <v>#REF!</v>
      </c>
      <c r="AK52" s="42" t="e">
        <f>IF(AND('Mapa final'!#REF!="Muy Baja",'Mapa final'!#REF!="Catastrófico"),CONCATENATE("R7C",'Mapa final'!#REF!),"")</f>
        <v>#REF!</v>
      </c>
      <c r="AL52" s="42" t="e">
        <f>IF(AND('Mapa final'!#REF!="Muy Baja",'Mapa final'!#REF!="Catastrófico"),CONCATENATE("R7C",'Mapa final'!#REF!),"")</f>
        <v>#REF!</v>
      </c>
      <c r="AM52" s="43" t="e">
        <f>IF(AND('Mapa final'!#REF!="Muy Baja",'Mapa final'!#REF!="Catastrófico"),CONCATENATE("R7C",'Mapa final'!#REF!),"")</f>
        <v>#REF!</v>
      </c>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row>
    <row r="53" spans="1:80" ht="15" customHeight="1" x14ac:dyDescent="0.25">
      <c r="A53" s="70"/>
      <c r="B53" s="308"/>
      <c r="C53" s="308"/>
      <c r="D53" s="309"/>
      <c r="E53" s="409"/>
      <c r="F53" s="410"/>
      <c r="G53" s="410"/>
      <c r="H53" s="410"/>
      <c r="I53" s="425"/>
      <c r="J53" s="63" t="str">
        <f>IF(AND('Mapa final'!$AJ$22="Muy Baja",'Mapa final'!$AL$22="Leve"),CONCATENATE("R8C",'Mapa final'!$V$22),"")</f>
        <v/>
      </c>
      <c r="K53" s="64" t="str">
        <f>IF(AND('Mapa final'!$AJ$23="Muy Baja",'Mapa final'!$AL$23="Leve"),CONCATENATE("R8C",'Mapa final'!$V$23),"")</f>
        <v/>
      </c>
      <c r="L53" s="64" t="str">
        <f>IF(AND('Mapa final'!$AJ$24="Muy Baja",'Mapa final'!$AL$24="Leve"),CONCATENATE("R8C",'Mapa final'!$V$24),"")</f>
        <v/>
      </c>
      <c r="M53" s="64" t="str">
        <f>IF(AND('Mapa final'!$AJ$25="Muy Baja",'Mapa final'!$AL$25="Leve"),CONCATENATE("R8C",'Mapa final'!$V$25),"")</f>
        <v/>
      </c>
      <c r="N53" s="64" t="e">
        <f>IF(AND('Mapa final'!#REF!="Muy Baja",'Mapa final'!#REF!="Leve"),CONCATENATE("R8C",'Mapa final'!#REF!),"")</f>
        <v>#REF!</v>
      </c>
      <c r="O53" s="65" t="e">
        <f>IF(AND('Mapa final'!#REF!="Muy Baja",'Mapa final'!#REF!="Leve"),CONCATENATE("R8C",'Mapa final'!#REF!),"")</f>
        <v>#REF!</v>
      </c>
      <c r="P53" s="63" t="str">
        <f>IF(AND('Mapa final'!$AJ$22="Muy Baja",'Mapa final'!$AL$22="Menor"),CONCATENATE("R8C",'Mapa final'!$V$22),"")</f>
        <v/>
      </c>
      <c r="Q53" s="64" t="str">
        <f>IF(AND('Mapa final'!$AJ$23="Muy Baja",'Mapa final'!$AL$23="Menor"),CONCATENATE("R8C",'Mapa final'!$V$23),"")</f>
        <v/>
      </c>
      <c r="R53" s="64" t="str">
        <f>IF(AND('Mapa final'!$AJ$24="Muy Baja",'Mapa final'!$AL$24="Menor"),CONCATENATE("R8C",'Mapa final'!$V$24),"")</f>
        <v>R8C3</v>
      </c>
      <c r="S53" s="64" t="str">
        <f>IF(AND('Mapa final'!$AJ$25="Muy Baja",'Mapa final'!$AL$25="Menor"),CONCATENATE("R8C",'Mapa final'!$V$25),"")</f>
        <v>R8C4</v>
      </c>
      <c r="T53" s="64" t="e">
        <f>IF(AND('Mapa final'!#REF!="Muy Baja",'Mapa final'!#REF!="Menor"),CONCATENATE("R8C",'Mapa final'!#REF!),"")</f>
        <v>#REF!</v>
      </c>
      <c r="U53" s="65" t="e">
        <f>IF(AND('Mapa final'!#REF!="Muy Baja",'Mapa final'!#REF!="Menor"),CONCATENATE("R8C",'Mapa final'!#REF!),"")</f>
        <v>#REF!</v>
      </c>
      <c r="V53" s="54" t="str">
        <f>IF(AND('Mapa final'!$AJ$22="Muy Baja",'Mapa final'!$AL$22="Moderado"),CONCATENATE("R8C",'Mapa final'!$V$22),"")</f>
        <v/>
      </c>
      <c r="W53" s="55" t="str">
        <f>IF(AND('Mapa final'!$AJ$23="Muy Baja",'Mapa final'!$AL$23="Moderado"),CONCATENATE("R8C",'Mapa final'!$V$23),"")</f>
        <v/>
      </c>
      <c r="X53" s="55" t="str">
        <f>IF(AND('Mapa final'!$AJ$24="Muy Baja",'Mapa final'!$AL$24="Moderado"),CONCATENATE("R8C",'Mapa final'!$V$24),"")</f>
        <v/>
      </c>
      <c r="Y53" s="55" t="str">
        <f>IF(AND('Mapa final'!$AJ$25="Muy Baja",'Mapa final'!$AL$25="Moderado"),CONCATENATE("R8C",'Mapa final'!$V$25),"")</f>
        <v/>
      </c>
      <c r="Z53" s="55" t="e">
        <f>IF(AND('Mapa final'!#REF!="Muy Baja",'Mapa final'!#REF!="Moderado"),CONCATENATE("R8C",'Mapa final'!#REF!),"")</f>
        <v>#REF!</v>
      </c>
      <c r="AA53" s="56" t="e">
        <f>IF(AND('Mapa final'!#REF!="Muy Baja",'Mapa final'!#REF!="Moderado"),CONCATENATE("R8C",'Mapa final'!#REF!),"")</f>
        <v>#REF!</v>
      </c>
      <c r="AB53" s="38" t="str">
        <f>IF(AND('Mapa final'!$AJ$22="Muy Baja",'Mapa final'!$AL$22="Mayor"),CONCATENATE("R8C",'Mapa final'!$V$22),"")</f>
        <v/>
      </c>
      <c r="AC53" s="39" t="str">
        <f>IF(AND('Mapa final'!$AJ$23="Muy Baja",'Mapa final'!$AL$23="Mayor"),CONCATENATE("R8C",'Mapa final'!$V$23),"")</f>
        <v/>
      </c>
      <c r="AD53" s="44" t="str">
        <f>IF(AND('Mapa final'!$AJ$24="Muy Baja",'Mapa final'!$AL$24="Mayor"),CONCATENATE("R8C",'Mapa final'!$V$24),"")</f>
        <v/>
      </c>
      <c r="AE53" s="44" t="str">
        <f>IF(AND('Mapa final'!$AJ$25="Muy Baja",'Mapa final'!$AL$25="Mayor"),CONCATENATE("R8C",'Mapa final'!$V$25),"")</f>
        <v/>
      </c>
      <c r="AF53" s="44" t="e">
        <f>IF(AND('Mapa final'!#REF!="Muy Baja",'Mapa final'!#REF!="Mayor"),CONCATENATE("R8C",'Mapa final'!#REF!),"")</f>
        <v>#REF!</v>
      </c>
      <c r="AG53" s="40" t="e">
        <f>IF(AND('Mapa final'!#REF!="Muy Baja",'Mapa final'!#REF!="Mayor"),CONCATENATE("R8C",'Mapa final'!#REF!),"")</f>
        <v>#REF!</v>
      </c>
      <c r="AH53" s="41" t="str">
        <f>IF(AND('Mapa final'!$AJ$22="Muy Baja",'Mapa final'!$AL$22="Catastrófico"),CONCATENATE("R8C",'Mapa final'!$V$22),"")</f>
        <v/>
      </c>
      <c r="AI53" s="42" t="str">
        <f>IF(AND('Mapa final'!$AJ$23="Muy Baja",'Mapa final'!$AL$23="Catastrófico"),CONCATENATE("R8C",'Mapa final'!$V$23),"")</f>
        <v/>
      </c>
      <c r="AJ53" s="42" t="str">
        <f>IF(AND('Mapa final'!$AJ$24="Muy Baja",'Mapa final'!$AL$24="Catastrófico"),CONCATENATE("R8C",'Mapa final'!$V$24),"")</f>
        <v/>
      </c>
      <c r="AK53" s="42" t="str">
        <f>IF(AND('Mapa final'!$AJ$25="Muy Baja",'Mapa final'!$AL$25="Catastrófico"),CONCATENATE("R8C",'Mapa final'!$V$25),"")</f>
        <v/>
      </c>
      <c r="AL53" s="42" t="e">
        <f>IF(AND('Mapa final'!#REF!="Muy Baja",'Mapa final'!#REF!="Catastrófico"),CONCATENATE("R8C",'Mapa final'!#REF!),"")</f>
        <v>#REF!</v>
      </c>
      <c r="AM53" s="43" t="e">
        <f>IF(AND('Mapa final'!#REF!="Muy Baja",'Mapa final'!#REF!="Catastrófico"),CONCATENATE("R8C",'Mapa final'!#REF!),"")</f>
        <v>#REF!</v>
      </c>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row>
    <row r="54" spans="1:80" ht="15" customHeight="1" x14ac:dyDescent="0.25">
      <c r="A54" s="70"/>
      <c r="B54" s="308"/>
      <c r="C54" s="308"/>
      <c r="D54" s="309"/>
      <c r="E54" s="409"/>
      <c r="F54" s="410"/>
      <c r="G54" s="410"/>
      <c r="H54" s="410"/>
      <c r="I54" s="425"/>
      <c r="J54" s="63" t="str">
        <f>IF(AND('Mapa final'!$AJ$26="Muy Baja",'Mapa final'!$AL$26="Leve"),CONCATENATE("R9C",'Mapa final'!$V$26),"")</f>
        <v/>
      </c>
      <c r="K54" s="64" t="str">
        <f>IF(AND('Mapa final'!$AJ$27="Muy Baja",'Mapa final'!$AL$27="Leve"),CONCATENATE("R9C",'Mapa final'!$V$27),"")</f>
        <v/>
      </c>
      <c r="L54" s="64" t="str">
        <f>IF(AND('Mapa final'!$AJ$28="Muy Baja",'Mapa final'!$AL$28="Leve"),CONCATENATE("R9C",'Mapa final'!$V$28),"")</f>
        <v/>
      </c>
      <c r="M54" s="64" t="str">
        <f>IF(AND('Mapa final'!$AJ$29="Muy Baja",'Mapa final'!$AL$29="Leve"),CONCATENATE("R9C",'Mapa final'!$V$29),"")</f>
        <v/>
      </c>
      <c r="N54" s="64" t="e">
        <f>IF(AND('Mapa final'!#REF!="Muy Baja",'Mapa final'!#REF!="Leve"),CONCATENATE("R9C",'Mapa final'!#REF!),"")</f>
        <v>#REF!</v>
      </c>
      <c r="O54" s="65" t="e">
        <f>IF(AND('Mapa final'!#REF!="Muy Baja",'Mapa final'!#REF!="Leve"),CONCATENATE("R9C",'Mapa final'!#REF!),"")</f>
        <v>#REF!</v>
      </c>
      <c r="P54" s="63" t="str">
        <f>IF(AND('Mapa final'!$AJ$26="Muy Baja",'Mapa final'!$AL$26="Menor"),CONCATENATE("R9C",'Mapa final'!$V$26),"")</f>
        <v/>
      </c>
      <c r="Q54" s="64" t="str">
        <f>IF(AND('Mapa final'!$AJ$27="Muy Baja",'Mapa final'!$AL$27="Menor"),CONCATENATE("R9C",'Mapa final'!$V$27),"")</f>
        <v/>
      </c>
      <c r="R54" s="64" t="str">
        <f>IF(AND('Mapa final'!$AJ$28="Muy Baja",'Mapa final'!$AL$28="Menor"),CONCATENATE("R9C",'Mapa final'!$V$28),"")</f>
        <v/>
      </c>
      <c r="S54" s="64" t="str">
        <f>IF(AND('Mapa final'!$AJ$29="Muy Baja",'Mapa final'!$AL$29="Menor"),CONCATENATE("R9C",'Mapa final'!$V$29),"")</f>
        <v/>
      </c>
      <c r="T54" s="64" t="e">
        <f>IF(AND('Mapa final'!#REF!="Muy Baja",'Mapa final'!#REF!="Menor"),CONCATENATE("R9C",'Mapa final'!#REF!),"")</f>
        <v>#REF!</v>
      </c>
      <c r="U54" s="65" t="e">
        <f>IF(AND('Mapa final'!#REF!="Muy Baja",'Mapa final'!#REF!="Menor"),CONCATENATE("R9C",'Mapa final'!#REF!),"")</f>
        <v>#REF!</v>
      </c>
      <c r="V54" s="54" t="str">
        <f>IF(AND('Mapa final'!$AJ$26="Muy Baja",'Mapa final'!$AL$26="Moderado"),CONCATENATE("R9C",'Mapa final'!$V$26),"")</f>
        <v>R9C1</v>
      </c>
      <c r="W54" s="55" t="str">
        <f>IF(AND('Mapa final'!$AJ$27="Muy Baja",'Mapa final'!$AL$27="Moderado"),CONCATENATE("R9C",'Mapa final'!$V$27),"")</f>
        <v>R9C2</v>
      </c>
      <c r="X54" s="55" t="str">
        <f>IF(AND('Mapa final'!$AJ$28="Muy Baja",'Mapa final'!$AL$28="Moderado"),CONCATENATE("R9C",'Mapa final'!$V$28),"")</f>
        <v>R9C3</v>
      </c>
      <c r="Y54" s="55" t="str">
        <f>IF(AND('Mapa final'!$AJ$29="Muy Baja",'Mapa final'!$AL$29="Moderado"),CONCATENATE("R9C",'Mapa final'!$V$29),"")</f>
        <v>R9C4</v>
      </c>
      <c r="Z54" s="55" t="e">
        <f>IF(AND('Mapa final'!#REF!="Muy Baja",'Mapa final'!#REF!="Moderado"),CONCATENATE("R9C",'Mapa final'!#REF!),"")</f>
        <v>#REF!</v>
      </c>
      <c r="AA54" s="56" t="e">
        <f>IF(AND('Mapa final'!#REF!="Muy Baja",'Mapa final'!#REF!="Moderado"),CONCATENATE("R9C",'Mapa final'!#REF!),"")</f>
        <v>#REF!</v>
      </c>
      <c r="AB54" s="38" t="str">
        <f>IF(AND('Mapa final'!$AJ$26="Muy Baja",'Mapa final'!$AL$26="Mayor"),CONCATENATE("R9C",'Mapa final'!$V$26),"")</f>
        <v/>
      </c>
      <c r="AC54" s="39" t="str">
        <f>IF(AND('Mapa final'!$AJ$27="Muy Baja",'Mapa final'!$AL$27="Mayor"),CONCATENATE("R9C",'Mapa final'!$V$27),"")</f>
        <v/>
      </c>
      <c r="AD54" s="44" t="str">
        <f>IF(AND('Mapa final'!$AJ$28="Muy Baja",'Mapa final'!$AL$28="Mayor"),CONCATENATE("R9C",'Mapa final'!$V$28),"")</f>
        <v/>
      </c>
      <c r="AE54" s="44" t="str">
        <f>IF(AND('Mapa final'!$AJ$29="Muy Baja",'Mapa final'!$AL$29="Mayor"),CONCATENATE("R9C",'Mapa final'!$V$29),"")</f>
        <v/>
      </c>
      <c r="AF54" s="44" t="e">
        <f>IF(AND('Mapa final'!#REF!="Muy Baja",'Mapa final'!#REF!="Mayor"),CONCATENATE("R9C",'Mapa final'!#REF!),"")</f>
        <v>#REF!</v>
      </c>
      <c r="AG54" s="40" t="e">
        <f>IF(AND('Mapa final'!#REF!="Muy Baja",'Mapa final'!#REF!="Mayor"),CONCATENATE("R9C",'Mapa final'!#REF!),"")</f>
        <v>#REF!</v>
      </c>
      <c r="AH54" s="41" t="str">
        <f>IF(AND('Mapa final'!$AJ$26="Muy Baja",'Mapa final'!$AL$26="Catastrófico"),CONCATENATE("R9C",'Mapa final'!$V$26),"")</f>
        <v/>
      </c>
      <c r="AI54" s="42" t="str">
        <f>IF(AND('Mapa final'!$AJ$27="Muy Baja",'Mapa final'!$AL$27="Catastrófico"),CONCATENATE("R9C",'Mapa final'!$V$27),"")</f>
        <v/>
      </c>
      <c r="AJ54" s="42" t="str">
        <f>IF(AND('Mapa final'!$AJ$28="Muy Baja",'Mapa final'!$AL$28="Catastrófico"),CONCATENATE("R9C",'Mapa final'!$V$28),"")</f>
        <v/>
      </c>
      <c r="AK54" s="42" t="str">
        <f>IF(AND('Mapa final'!$AJ$29="Muy Baja",'Mapa final'!$AL$29="Catastrófico"),CONCATENATE("R9C",'Mapa final'!$V$29),"")</f>
        <v/>
      </c>
      <c r="AL54" s="42" t="e">
        <f>IF(AND('Mapa final'!#REF!="Muy Baja",'Mapa final'!#REF!="Catastrófico"),CONCATENATE("R9C",'Mapa final'!#REF!),"")</f>
        <v>#REF!</v>
      </c>
      <c r="AM54" s="43" t="e">
        <f>IF(AND('Mapa final'!#REF!="Muy Baja",'Mapa final'!#REF!="Catastrófico"),CONCATENATE("R9C",'Mapa final'!#REF!),"")</f>
        <v>#REF!</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row>
    <row r="55" spans="1:80" ht="15.75" customHeight="1" thickBot="1" x14ac:dyDescent="0.3">
      <c r="A55" s="70"/>
      <c r="B55" s="308"/>
      <c r="C55" s="308"/>
      <c r="D55" s="309"/>
      <c r="E55" s="411"/>
      <c r="F55" s="412"/>
      <c r="G55" s="412"/>
      <c r="H55" s="412"/>
      <c r="I55" s="426"/>
      <c r="J55" s="66" t="e">
        <f>IF(AND('Mapa final'!#REF!="Muy Baja",'Mapa final'!#REF!="Leve"),CONCATENATE("R10C",'Mapa final'!#REF!),"")</f>
        <v>#REF!</v>
      </c>
      <c r="K55" s="67" t="e">
        <f>IF(AND('Mapa final'!#REF!="Muy Baja",'Mapa final'!#REF!="Leve"),CONCATENATE("R10C",'Mapa final'!#REF!),"")</f>
        <v>#REF!</v>
      </c>
      <c r="L55" s="67" t="e">
        <f>IF(AND('Mapa final'!#REF!="Muy Baja",'Mapa final'!#REF!="Leve"),CONCATENATE("R10C",'Mapa final'!#REF!),"")</f>
        <v>#REF!</v>
      </c>
      <c r="M55" s="67" t="e">
        <f>IF(AND('Mapa final'!#REF!="Muy Baja",'Mapa final'!#REF!="Leve"),CONCATENATE("R10C",'Mapa final'!#REF!),"")</f>
        <v>#REF!</v>
      </c>
      <c r="N55" s="67" t="e">
        <f>IF(AND('Mapa final'!#REF!="Muy Baja",'Mapa final'!#REF!="Leve"),CONCATENATE("R10C",'Mapa final'!#REF!),"")</f>
        <v>#REF!</v>
      </c>
      <c r="O55" s="68" t="e">
        <f>IF(AND('Mapa final'!#REF!="Muy Baja",'Mapa final'!#REF!="Leve"),CONCATENATE("R10C",'Mapa final'!#REF!),"")</f>
        <v>#REF!</v>
      </c>
      <c r="P55" s="66" t="e">
        <f>IF(AND('Mapa final'!#REF!="Muy Baja",'Mapa final'!#REF!="Menor"),CONCATENATE("R10C",'Mapa final'!#REF!),"")</f>
        <v>#REF!</v>
      </c>
      <c r="Q55" s="67" t="e">
        <f>IF(AND('Mapa final'!#REF!="Muy Baja",'Mapa final'!#REF!="Menor"),CONCATENATE("R10C",'Mapa final'!#REF!),"")</f>
        <v>#REF!</v>
      </c>
      <c r="R55" s="67" t="e">
        <f>IF(AND('Mapa final'!#REF!="Muy Baja",'Mapa final'!#REF!="Menor"),CONCATENATE("R10C",'Mapa final'!#REF!),"")</f>
        <v>#REF!</v>
      </c>
      <c r="S55" s="67" t="e">
        <f>IF(AND('Mapa final'!#REF!="Muy Baja",'Mapa final'!#REF!="Menor"),CONCATENATE("R10C",'Mapa final'!#REF!),"")</f>
        <v>#REF!</v>
      </c>
      <c r="T55" s="67" t="e">
        <f>IF(AND('Mapa final'!#REF!="Muy Baja",'Mapa final'!#REF!="Menor"),CONCATENATE("R10C",'Mapa final'!#REF!),"")</f>
        <v>#REF!</v>
      </c>
      <c r="U55" s="68" t="e">
        <f>IF(AND('Mapa final'!#REF!="Muy Baja",'Mapa final'!#REF!="Menor"),CONCATENATE("R10C",'Mapa final'!#REF!),"")</f>
        <v>#REF!</v>
      </c>
      <c r="V55" s="57" t="e">
        <f>IF(AND('Mapa final'!#REF!="Muy Baja",'Mapa final'!#REF!="Moderado"),CONCATENATE("R10C",'Mapa final'!#REF!),"")</f>
        <v>#REF!</v>
      </c>
      <c r="W55" s="58" t="e">
        <f>IF(AND('Mapa final'!#REF!="Muy Baja",'Mapa final'!#REF!="Moderado"),CONCATENATE("R10C",'Mapa final'!#REF!),"")</f>
        <v>#REF!</v>
      </c>
      <c r="X55" s="58" t="e">
        <f>IF(AND('Mapa final'!#REF!="Muy Baja",'Mapa final'!#REF!="Moderado"),CONCATENATE("R10C",'Mapa final'!#REF!),"")</f>
        <v>#REF!</v>
      </c>
      <c r="Y55" s="58" t="e">
        <f>IF(AND('Mapa final'!#REF!="Muy Baja",'Mapa final'!#REF!="Moderado"),CONCATENATE("R10C",'Mapa final'!#REF!),"")</f>
        <v>#REF!</v>
      </c>
      <c r="Z55" s="58" t="e">
        <f>IF(AND('Mapa final'!#REF!="Muy Baja",'Mapa final'!#REF!="Moderado"),CONCATENATE("R10C",'Mapa final'!#REF!),"")</f>
        <v>#REF!</v>
      </c>
      <c r="AA55" s="59" t="e">
        <f>IF(AND('Mapa final'!#REF!="Muy Baja",'Mapa final'!#REF!="Moderado"),CONCATENATE("R10C",'Mapa final'!#REF!),"")</f>
        <v>#REF!</v>
      </c>
      <c r="AB55" s="45" t="e">
        <f>IF(AND('Mapa final'!#REF!="Muy Baja",'Mapa final'!#REF!="Mayor"),CONCATENATE("R10C",'Mapa final'!#REF!),"")</f>
        <v>#REF!</v>
      </c>
      <c r="AC55" s="46" t="e">
        <f>IF(AND('Mapa final'!#REF!="Muy Baja",'Mapa final'!#REF!="Mayor"),CONCATENATE("R10C",'Mapa final'!#REF!),"")</f>
        <v>#REF!</v>
      </c>
      <c r="AD55" s="46" t="e">
        <f>IF(AND('Mapa final'!#REF!="Muy Baja",'Mapa final'!#REF!="Mayor"),CONCATENATE("R10C",'Mapa final'!#REF!),"")</f>
        <v>#REF!</v>
      </c>
      <c r="AE55" s="46" t="e">
        <f>IF(AND('Mapa final'!#REF!="Muy Baja",'Mapa final'!#REF!="Mayor"),CONCATENATE("R10C",'Mapa final'!#REF!),"")</f>
        <v>#REF!</v>
      </c>
      <c r="AF55" s="46" t="e">
        <f>IF(AND('Mapa final'!#REF!="Muy Baja",'Mapa final'!#REF!="Mayor"),CONCATENATE("R10C",'Mapa final'!#REF!),"")</f>
        <v>#REF!</v>
      </c>
      <c r="AG55" s="47" t="e">
        <f>IF(AND('Mapa final'!#REF!="Muy Baja",'Mapa final'!#REF!="Mayor"),CONCATENATE("R10C",'Mapa final'!#REF!),"")</f>
        <v>#REF!</v>
      </c>
      <c r="AH55" s="48" t="e">
        <f>IF(AND('Mapa final'!#REF!="Muy Baja",'Mapa final'!#REF!="Catastrófico"),CONCATENATE("R10C",'Mapa final'!#REF!),"")</f>
        <v>#REF!</v>
      </c>
      <c r="AI55" s="49" t="e">
        <f>IF(AND('Mapa final'!#REF!="Muy Baja",'Mapa final'!#REF!="Catastrófico"),CONCATENATE("R10C",'Mapa final'!#REF!),"")</f>
        <v>#REF!</v>
      </c>
      <c r="AJ55" s="49" t="e">
        <f>IF(AND('Mapa final'!#REF!="Muy Baja",'Mapa final'!#REF!="Catastrófico"),CONCATENATE("R10C",'Mapa final'!#REF!),"")</f>
        <v>#REF!</v>
      </c>
      <c r="AK55" s="49" t="e">
        <f>IF(AND('Mapa final'!#REF!="Muy Baja",'Mapa final'!#REF!="Catastrófico"),CONCATENATE("R10C",'Mapa final'!#REF!),"")</f>
        <v>#REF!</v>
      </c>
      <c r="AL55" s="49" t="e">
        <f>IF(AND('Mapa final'!#REF!="Muy Baja",'Mapa final'!#REF!="Catastrófico"),CONCATENATE("R10C",'Mapa final'!#REF!),"")</f>
        <v>#REF!</v>
      </c>
      <c r="AM55" s="50" t="e">
        <f>IF(AND('Mapa final'!#REF!="Muy Baja",'Mapa final'!#REF!="Catastrófico"),CONCATENATE("R10C",'Mapa final'!#REF!),"")</f>
        <v>#REF!</v>
      </c>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row>
    <row r="56" spans="1:80" x14ac:dyDescent="0.25">
      <c r="A56" s="70"/>
      <c r="B56" s="70"/>
      <c r="C56" s="70"/>
      <c r="D56" s="70"/>
      <c r="E56" s="70"/>
      <c r="F56" s="70"/>
      <c r="G56" s="70"/>
      <c r="H56" s="70"/>
      <c r="I56" s="70"/>
      <c r="J56" s="405" t="s">
        <v>284</v>
      </c>
      <c r="K56" s="406"/>
      <c r="L56" s="406"/>
      <c r="M56" s="406"/>
      <c r="N56" s="406"/>
      <c r="O56" s="424"/>
      <c r="P56" s="405" t="s">
        <v>285</v>
      </c>
      <c r="Q56" s="406"/>
      <c r="R56" s="406"/>
      <c r="S56" s="406"/>
      <c r="T56" s="406"/>
      <c r="U56" s="424"/>
      <c r="V56" s="405" t="s">
        <v>286</v>
      </c>
      <c r="W56" s="406"/>
      <c r="X56" s="406"/>
      <c r="Y56" s="406"/>
      <c r="Z56" s="406"/>
      <c r="AA56" s="424"/>
      <c r="AB56" s="405" t="s">
        <v>287</v>
      </c>
      <c r="AC56" s="445"/>
      <c r="AD56" s="406"/>
      <c r="AE56" s="406"/>
      <c r="AF56" s="406"/>
      <c r="AG56" s="424"/>
      <c r="AH56" s="405" t="s">
        <v>288</v>
      </c>
      <c r="AI56" s="406"/>
      <c r="AJ56" s="406"/>
      <c r="AK56" s="406"/>
      <c r="AL56" s="406"/>
      <c r="AM56" s="424"/>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row>
    <row r="57" spans="1:80" x14ac:dyDescent="0.25">
      <c r="A57" s="70"/>
      <c r="B57" s="70"/>
      <c r="C57" s="70"/>
      <c r="D57" s="70"/>
      <c r="E57" s="70"/>
      <c r="F57" s="70"/>
      <c r="G57" s="70"/>
      <c r="H57" s="70"/>
      <c r="I57" s="70"/>
      <c r="J57" s="409"/>
      <c r="K57" s="410"/>
      <c r="L57" s="410"/>
      <c r="M57" s="410"/>
      <c r="N57" s="410"/>
      <c r="O57" s="425"/>
      <c r="P57" s="409"/>
      <c r="Q57" s="410"/>
      <c r="R57" s="410"/>
      <c r="S57" s="410"/>
      <c r="T57" s="410"/>
      <c r="U57" s="425"/>
      <c r="V57" s="409"/>
      <c r="W57" s="410"/>
      <c r="X57" s="410"/>
      <c r="Y57" s="410"/>
      <c r="Z57" s="410"/>
      <c r="AA57" s="425"/>
      <c r="AB57" s="409"/>
      <c r="AC57" s="410"/>
      <c r="AD57" s="410"/>
      <c r="AE57" s="410"/>
      <c r="AF57" s="410"/>
      <c r="AG57" s="425"/>
      <c r="AH57" s="409"/>
      <c r="AI57" s="410"/>
      <c r="AJ57" s="410"/>
      <c r="AK57" s="410"/>
      <c r="AL57" s="410"/>
      <c r="AM57" s="425"/>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row>
    <row r="58" spans="1:80" x14ac:dyDescent="0.25">
      <c r="A58" s="70"/>
      <c r="B58" s="70"/>
      <c r="C58" s="70"/>
      <c r="D58" s="70"/>
      <c r="E58" s="70"/>
      <c r="F58" s="70"/>
      <c r="G58" s="70"/>
      <c r="H58" s="70"/>
      <c r="I58" s="70"/>
      <c r="J58" s="409"/>
      <c r="K58" s="410"/>
      <c r="L58" s="410"/>
      <c r="M58" s="410"/>
      <c r="N58" s="410"/>
      <c r="O58" s="425"/>
      <c r="P58" s="409"/>
      <c r="Q58" s="410"/>
      <c r="R58" s="410"/>
      <c r="S58" s="410"/>
      <c r="T58" s="410"/>
      <c r="U58" s="425"/>
      <c r="V58" s="409"/>
      <c r="W58" s="410"/>
      <c r="X58" s="410"/>
      <c r="Y58" s="410"/>
      <c r="Z58" s="410"/>
      <c r="AA58" s="425"/>
      <c r="AB58" s="409"/>
      <c r="AC58" s="410"/>
      <c r="AD58" s="410"/>
      <c r="AE58" s="410"/>
      <c r="AF58" s="410"/>
      <c r="AG58" s="425"/>
      <c r="AH58" s="409"/>
      <c r="AI58" s="410"/>
      <c r="AJ58" s="410"/>
      <c r="AK58" s="410"/>
      <c r="AL58" s="410"/>
      <c r="AM58" s="425"/>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row>
    <row r="59" spans="1:80" x14ac:dyDescent="0.25">
      <c r="A59" s="70"/>
      <c r="B59" s="70"/>
      <c r="C59" s="70"/>
      <c r="D59" s="70"/>
      <c r="E59" s="70"/>
      <c r="F59" s="70"/>
      <c r="G59" s="70"/>
      <c r="H59" s="70"/>
      <c r="I59" s="70"/>
      <c r="J59" s="409"/>
      <c r="K59" s="410"/>
      <c r="L59" s="410"/>
      <c r="M59" s="410"/>
      <c r="N59" s="410"/>
      <c r="O59" s="425"/>
      <c r="P59" s="409"/>
      <c r="Q59" s="410"/>
      <c r="R59" s="410"/>
      <c r="S59" s="410"/>
      <c r="T59" s="410"/>
      <c r="U59" s="425"/>
      <c r="V59" s="409"/>
      <c r="W59" s="410"/>
      <c r="X59" s="410"/>
      <c r="Y59" s="410"/>
      <c r="Z59" s="410"/>
      <c r="AA59" s="425"/>
      <c r="AB59" s="409"/>
      <c r="AC59" s="410"/>
      <c r="AD59" s="410"/>
      <c r="AE59" s="410"/>
      <c r="AF59" s="410"/>
      <c r="AG59" s="425"/>
      <c r="AH59" s="409"/>
      <c r="AI59" s="410"/>
      <c r="AJ59" s="410"/>
      <c r="AK59" s="410"/>
      <c r="AL59" s="410"/>
      <c r="AM59" s="425"/>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row>
    <row r="60" spans="1:80" x14ac:dyDescent="0.25">
      <c r="A60" s="70"/>
      <c r="B60" s="70"/>
      <c r="C60" s="70"/>
      <c r="D60" s="70"/>
      <c r="E60" s="70"/>
      <c r="F60" s="70"/>
      <c r="G60" s="70"/>
      <c r="H60" s="70"/>
      <c r="I60" s="70"/>
      <c r="J60" s="409"/>
      <c r="K60" s="410"/>
      <c r="L60" s="410"/>
      <c r="M60" s="410"/>
      <c r="N60" s="410"/>
      <c r="O60" s="425"/>
      <c r="P60" s="409"/>
      <c r="Q60" s="410"/>
      <c r="R60" s="410"/>
      <c r="S60" s="410"/>
      <c r="T60" s="410"/>
      <c r="U60" s="425"/>
      <c r="V60" s="409"/>
      <c r="W60" s="410"/>
      <c r="X60" s="410"/>
      <c r="Y60" s="410"/>
      <c r="Z60" s="410"/>
      <c r="AA60" s="425"/>
      <c r="AB60" s="409"/>
      <c r="AC60" s="410"/>
      <c r="AD60" s="410"/>
      <c r="AE60" s="410"/>
      <c r="AF60" s="410"/>
      <c r="AG60" s="425"/>
      <c r="AH60" s="409"/>
      <c r="AI60" s="410"/>
      <c r="AJ60" s="410"/>
      <c r="AK60" s="410"/>
      <c r="AL60" s="410"/>
      <c r="AM60" s="425"/>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row>
    <row r="61" spans="1:80" ht="15.75" thickBot="1" x14ac:dyDescent="0.3">
      <c r="A61" s="70"/>
      <c r="B61" s="70"/>
      <c r="C61" s="70"/>
      <c r="D61" s="70"/>
      <c r="E61" s="70"/>
      <c r="F61" s="70"/>
      <c r="G61" s="70"/>
      <c r="H61" s="70"/>
      <c r="I61" s="70"/>
      <c r="J61" s="411"/>
      <c r="K61" s="412"/>
      <c r="L61" s="412"/>
      <c r="M61" s="412"/>
      <c r="N61" s="412"/>
      <c r="O61" s="426"/>
      <c r="P61" s="411"/>
      <c r="Q61" s="412"/>
      <c r="R61" s="412"/>
      <c r="S61" s="412"/>
      <c r="T61" s="412"/>
      <c r="U61" s="426"/>
      <c r="V61" s="411"/>
      <c r="W61" s="412"/>
      <c r="X61" s="412"/>
      <c r="Y61" s="412"/>
      <c r="Z61" s="412"/>
      <c r="AA61" s="426"/>
      <c r="AB61" s="411"/>
      <c r="AC61" s="412"/>
      <c r="AD61" s="412"/>
      <c r="AE61" s="412"/>
      <c r="AF61" s="412"/>
      <c r="AG61" s="426"/>
      <c r="AH61" s="411"/>
      <c r="AI61" s="412"/>
      <c r="AJ61" s="412"/>
      <c r="AK61" s="412"/>
      <c r="AL61" s="412"/>
      <c r="AM61" s="426"/>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row>
    <row r="62" spans="1:80" x14ac:dyDescent="0.2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row>
    <row r="63" spans="1:80" ht="15" customHeight="1" x14ac:dyDescent="0.25">
      <c r="A63" s="70"/>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0"/>
      <c r="AV63" s="70"/>
      <c r="AW63" s="70"/>
      <c r="AX63" s="70"/>
      <c r="AY63" s="70"/>
      <c r="AZ63" s="70"/>
      <c r="BA63" s="70"/>
      <c r="BB63" s="70"/>
      <c r="BC63" s="70"/>
      <c r="BD63" s="70"/>
      <c r="BE63" s="70"/>
      <c r="BF63" s="70"/>
      <c r="BG63" s="70"/>
      <c r="BH63" s="70"/>
    </row>
    <row r="64" spans="1:80" ht="15" customHeight="1" x14ac:dyDescent="0.25">
      <c r="A64" s="70"/>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0"/>
      <c r="AV64" s="70"/>
      <c r="AW64" s="70"/>
      <c r="AX64" s="70"/>
      <c r="AY64" s="70"/>
      <c r="AZ64" s="70"/>
      <c r="BA64" s="70"/>
      <c r="BB64" s="70"/>
      <c r="BC64" s="70"/>
      <c r="BD64" s="70"/>
      <c r="BE64" s="70"/>
      <c r="BF64" s="70"/>
      <c r="BG64" s="70"/>
      <c r="BH64" s="70"/>
    </row>
    <row r="65" spans="1:60" x14ac:dyDescent="0.2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row>
    <row r="66" spans="1:60" x14ac:dyDescent="0.2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row>
    <row r="67" spans="1:60" x14ac:dyDescent="0.2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row>
    <row r="68" spans="1:60" x14ac:dyDescent="0.2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row>
    <row r="69" spans="1:60" x14ac:dyDescent="0.2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row>
    <row r="70" spans="1:60" x14ac:dyDescent="0.2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row>
    <row r="71" spans="1:60" x14ac:dyDescent="0.2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row>
    <row r="72" spans="1:60" x14ac:dyDescent="0.2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row>
    <row r="73" spans="1:60" x14ac:dyDescent="0.2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row>
    <row r="74" spans="1:60" x14ac:dyDescent="0.2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row>
    <row r="75" spans="1:60" x14ac:dyDescent="0.2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row>
    <row r="76" spans="1:60" x14ac:dyDescent="0.2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row>
    <row r="77" spans="1:60" x14ac:dyDescent="0.2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row>
    <row r="78" spans="1:60" x14ac:dyDescent="0.2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row>
    <row r="79" spans="1:60" x14ac:dyDescent="0.2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row>
    <row r="80" spans="1:60" x14ac:dyDescent="0.2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row>
    <row r="81" spans="1:60" x14ac:dyDescent="0.2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row>
    <row r="82" spans="1:60" x14ac:dyDescent="0.2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row>
    <row r="83" spans="1:60" x14ac:dyDescent="0.2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row>
    <row r="84" spans="1:60" x14ac:dyDescent="0.2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row>
    <row r="85" spans="1:60" x14ac:dyDescent="0.2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row>
    <row r="86" spans="1:60" x14ac:dyDescent="0.2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row>
    <row r="87" spans="1:60"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row>
    <row r="88" spans="1:60" x14ac:dyDescent="0.2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row>
    <row r="89" spans="1:60" x14ac:dyDescent="0.2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row>
    <row r="90" spans="1:60" x14ac:dyDescent="0.2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row>
    <row r="91" spans="1:60" x14ac:dyDescent="0.2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row>
    <row r="92" spans="1:60" x14ac:dyDescent="0.2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row>
    <row r="93" spans="1:60" x14ac:dyDescent="0.2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row>
    <row r="94" spans="1:60" x14ac:dyDescent="0.2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row>
    <row r="95" spans="1:60" x14ac:dyDescent="0.2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row>
    <row r="96" spans="1:60" x14ac:dyDescent="0.2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row>
    <row r="97" spans="1:60" x14ac:dyDescent="0.2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row>
    <row r="98" spans="1:60" x14ac:dyDescent="0.2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row>
    <row r="99" spans="1:60" x14ac:dyDescent="0.2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row>
    <row r="100" spans="1:60" x14ac:dyDescent="0.2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row>
    <row r="101" spans="1:60"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row>
    <row r="102" spans="1:60" x14ac:dyDescent="0.2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row>
    <row r="103" spans="1:60" x14ac:dyDescent="0.2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row>
    <row r="104" spans="1:60"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row>
    <row r="105" spans="1:60" x14ac:dyDescent="0.2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row>
    <row r="106" spans="1:60" x14ac:dyDescent="0.2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row>
    <row r="107" spans="1:60" x14ac:dyDescent="0.2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row>
    <row r="108" spans="1:60" x14ac:dyDescent="0.2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row>
    <row r="109" spans="1:60" x14ac:dyDescent="0.2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row>
    <row r="110" spans="1:60" x14ac:dyDescent="0.2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row>
    <row r="111" spans="1:60" x14ac:dyDescent="0.2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row>
    <row r="112" spans="1:60" x14ac:dyDescent="0.2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row>
    <row r="113" spans="1:60" x14ac:dyDescent="0.2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row>
    <row r="114" spans="1:60" x14ac:dyDescent="0.2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row>
    <row r="115" spans="1:60" x14ac:dyDescent="0.2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row>
    <row r="116" spans="1:60" x14ac:dyDescent="0.2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row>
    <row r="117" spans="1:60" x14ac:dyDescent="0.2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row>
    <row r="118" spans="1:60" x14ac:dyDescent="0.2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row>
    <row r="119" spans="1:60" x14ac:dyDescent="0.2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row>
    <row r="120" spans="1:60" x14ac:dyDescent="0.2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row>
    <row r="121" spans="1:60" x14ac:dyDescent="0.2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row>
    <row r="122" spans="1:60" x14ac:dyDescent="0.2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row>
    <row r="123" spans="1:60" x14ac:dyDescent="0.2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row>
    <row r="124" spans="1:60" x14ac:dyDescent="0.2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row>
    <row r="125" spans="1:60" x14ac:dyDescent="0.2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row>
    <row r="126" spans="1:60" x14ac:dyDescent="0.2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row>
    <row r="127" spans="1:60" x14ac:dyDescent="0.2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row>
    <row r="128" spans="1:60" x14ac:dyDescent="0.2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row>
    <row r="129" spans="1:60" x14ac:dyDescent="0.2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row>
    <row r="130" spans="1:60" x14ac:dyDescent="0.2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row>
    <row r="131" spans="1:60" x14ac:dyDescent="0.2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row>
    <row r="132" spans="1:60" x14ac:dyDescent="0.2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row>
    <row r="133" spans="1:60" x14ac:dyDescent="0.2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row>
    <row r="134" spans="1:60" x14ac:dyDescent="0.2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row>
    <row r="135" spans="1:60" x14ac:dyDescent="0.2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row>
    <row r="136" spans="1:60" x14ac:dyDescent="0.2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row>
    <row r="137" spans="1:60" x14ac:dyDescent="0.2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row>
    <row r="138" spans="1:60" x14ac:dyDescent="0.2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row>
    <row r="139" spans="1:60" x14ac:dyDescent="0.2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row>
    <row r="140" spans="1:60" x14ac:dyDescent="0.2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row>
    <row r="141" spans="1:60" x14ac:dyDescent="0.2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row>
    <row r="142" spans="1:60" x14ac:dyDescent="0.2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row>
    <row r="143" spans="1:60" x14ac:dyDescent="0.2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row>
    <row r="144" spans="1:60" x14ac:dyDescent="0.2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row>
    <row r="145" spans="1:60" x14ac:dyDescent="0.2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row>
    <row r="146" spans="1:60" x14ac:dyDescent="0.2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row>
    <row r="147" spans="1:60" x14ac:dyDescent="0.2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row>
    <row r="148" spans="1:60" x14ac:dyDescent="0.2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row>
    <row r="149" spans="1:60" x14ac:dyDescent="0.2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row>
    <row r="150" spans="1:60" x14ac:dyDescent="0.2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row>
    <row r="151" spans="1:60" x14ac:dyDescent="0.2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row>
    <row r="152" spans="1:60" x14ac:dyDescent="0.2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row>
    <row r="153" spans="1:60" x14ac:dyDescent="0.2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row>
    <row r="154" spans="1:60" x14ac:dyDescent="0.2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row>
    <row r="155" spans="1:60" x14ac:dyDescent="0.2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70"/>
      <c r="BF155" s="70"/>
      <c r="BG155" s="70"/>
      <c r="BH155" s="70"/>
    </row>
    <row r="156" spans="1:60" x14ac:dyDescent="0.2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row>
    <row r="157" spans="1:60" x14ac:dyDescent="0.2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row>
    <row r="158" spans="1:60" x14ac:dyDescent="0.2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row>
    <row r="159" spans="1:60" x14ac:dyDescent="0.2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row>
    <row r="160" spans="1:60" x14ac:dyDescent="0.2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c r="BE160" s="70"/>
      <c r="BF160" s="70"/>
      <c r="BG160" s="70"/>
      <c r="BH160" s="70"/>
    </row>
    <row r="161" spans="1:60" x14ac:dyDescent="0.2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row>
    <row r="162" spans="1:60" x14ac:dyDescent="0.2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c r="BE162" s="70"/>
      <c r="BF162" s="70"/>
      <c r="BG162" s="70"/>
      <c r="BH162" s="70"/>
    </row>
    <row r="163" spans="1:60" x14ac:dyDescent="0.2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row>
    <row r="164" spans="1:60" x14ac:dyDescent="0.2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row>
    <row r="165" spans="1:60" x14ac:dyDescent="0.2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row>
    <row r="166" spans="1:60" x14ac:dyDescent="0.2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row>
    <row r="167" spans="1:60" x14ac:dyDescent="0.2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row>
    <row r="168" spans="1:60" x14ac:dyDescent="0.2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row>
    <row r="169" spans="1:60" x14ac:dyDescent="0.2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row>
    <row r="170" spans="1:60" x14ac:dyDescent="0.2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row>
    <row r="171" spans="1:60" x14ac:dyDescent="0.2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c r="BE171" s="70"/>
      <c r="BF171" s="70"/>
      <c r="BG171" s="70"/>
      <c r="BH171" s="70"/>
    </row>
    <row r="172" spans="1:60" x14ac:dyDescent="0.2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c r="BE172" s="70"/>
      <c r="BF172" s="70"/>
      <c r="BG172" s="70"/>
      <c r="BH172" s="70"/>
    </row>
    <row r="173" spans="1:60" x14ac:dyDescent="0.2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row>
    <row r="174" spans="1:60" x14ac:dyDescent="0.2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c r="BE174" s="70"/>
      <c r="BF174" s="70"/>
      <c r="BG174" s="70"/>
      <c r="BH174" s="70"/>
    </row>
    <row r="175" spans="1:60" x14ac:dyDescent="0.2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row>
    <row r="176" spans="1:60" x14ac:dyDescent="0.2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c r="BE176" s="70"/>
      <c r="BF176" s="70"/>
      <c r="BG176" s="70"/>
      <c r="BH176" s="70"/>
    </row>
    <row r="177" spans="1:60" x14ac:dyDescent="0.2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c r="BE177" s="70"/>
      <c r="BF177" s="70"/>
      <c r="BG177" s="70"/>
      <c r="BH177" s="70"/>
    </row>
    <row r="178" spans="1:60" x14ac:dyDescent="0.2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c r="BE178" s="70"/>
      <c r="BF178" s="70"/>
      <c r="BG178" s="70"/>
      <c r="BH178" s="70"/>
    </row>
    <row r="179" spans="1:60" x14ac:dyDescent="0.2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row>
    <row r="180" spans="1:60" x14ac:dyDescent="0.2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row>
    <row r="181" spans="1:60" x14ac:dyDescent="0.2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c r="BE181" s="70"/>
      <c r="BF181" s="70"/>
      <c r="BG181" s="70"/>
      <c r="BH181" s="70"/>
    </row>
    <row r="182" spans="1:60" x14ac:dyDescent="0.2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c r="BE182" s="70"/>
      <c r="BF182" s="70"/>
      <c r="BG182" s="70"/>
      <c r="BH182" s="70"/>
    </row>
    <row r="183" spans="1:60" x14ac:dyDescent="0.2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c r="BE183" s="70"/>
      <c r="BF183" s="70"/>
      <c r="BG183" s="70"/>
      <c r="BH183" s="70"/>
    </row>
    <row r="184" spans="1:60" x14ac:dyDescent="0.2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c r="BE184" s="70"/>
      <c r="BF184" s="70"/>
      <c r="BG184" s="70"/>
      <c r="BH184" s="70"/>
    </row>
    <row r="185" spans="1:60" x14ac:dyDescent="0.2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row>
    <row r="186" spans="1:60" x14ac:dyDescent="0.2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c r="BE186" s="70"/>
      <c r="BF186" s="70"/>
      <c r="BG186" s="70"/>
      <c r="BH186" s="70"/>
    </row>
    <row r="187" spans="1:60" x14ac:dyDescent="0.2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row>
    <row r="188" spans="1:60" x14ac:dyDescent="0.2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row>
    <row r="189" spans="1:60" x14ac:dyDescent="0.2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c r="BE189" s="70"/>
      <c r="BF189" s="70"/>
      <c r="BG189" s="70"/>
      <c r="BH189" s="70"/>
    </row>
    <row r="190" spans="1:60" x14ac:dyDescent="0.2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c r="BE190" s="70"/>
      <c r="BF190" s="70"/>
      <c r="BG190" s="70"/>
      <c r="BH190" s="70"/>
    </row>
    <row r="191" spans="1:60" x14ac:dyDescent="0.25">
      <c r="A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row>
    <row r="192" spans="1:60" x14ac:dyDescent="0.25">
      <c r="A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c r="BE192" s="70"/>
      <c r="BF192" s="70"/>
      <c r="BG192" s="70"/>
      <c r="BH192" s="70"/>
    </row>
    <row r="193" spans="1:60" x14ac:dyDescent="0.25">
      <c r="A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c r="BE193" s="70"/>
      <c r="BF193" s="70"/>
      <c r="BG193" s="70"/>
      <c r="BH193" s="70"/>
    </row>
    <row r="194" spans="1:60" x14ac:dyDescent="0.25">
      <c r="A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c r="BE194" s="70"/>
      <c r="BF194" s="70"/>
      <c r="BG194" s="70"/>
      <c r="BH194" s="70"/>
    </row>
    <row r="195" spans="1:60" x14ac:dyDescent="0.25">
      <c r="A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70"/>
      <c r="BH195" s="70"/>
    </row>
    <row r="196" spans="1:60" x14ac:dyDescent="0.25">
      <c r="A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c r="BE196" s="70"/>
      <c r="BF196" s="70"/>
      <c r="BG196" s="70"/>
      <c r="BH196" s="70"/>
    </row>
    <row r="197" spans="1:60" x14ac:dyDescent="0.25">
      <c r="A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c r="BE197" s="70"/>
      <c r="BF197" s="70"/>
      <c r="BG197" s="70"/>
      <c r="BH197" s="70"/>
    </row>
    <row r="198" spans="1:60" x14ac:dyDescent="0.25">
      <c r="A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row>
    <row r="199" spans="1:60" x14ac:dyDescent="0.25">
      <c r="A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row>
    <row r="200" spans="1:60" x14ac:dyDescent="0.25">
      <c r="A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c r="BE200" s="70"/>
      <c r="BF200" s="70"/>
      <c r="BG200" s="70"/>
      <c r="BH200" s="70"/>
    </row>
    <row r="201" spans="1:60" x14ac:dyDescent="0.25">
      <c r="A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c r="BE201" s="70"/>
      <c r="BF201" s="70"/>
      <c r="BG201" s="70"/>
      <c r="BH201" s="70"/>
    </row>
    <row r="202" spans="1:60" x14ac:dyDescent="0.25">
      <c r="A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row>
    <row r="203" spans="1:60" x14ac:dyDescent="0.25">
      <c r="A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70"/>
      <c r="BH203" s="70"/>
    </row>
    <row r="204" spans="1:60" x14ac:dyDescent="0.25">
      <c r="A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c r="BE204" s="70"/>
      <c r="BF204" s="70"/>
      <c r="BG204" s="70"/>
      <c r="BH204" s="70"/>
    </row>
    <row r="205" spans="1:60" x14ac:dyDescent="0.25">
      <c r="A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c r="BE205" s="70"/>
      <c r="BF205" s="70"/>
      <c r="BG205" s="70"/>
      <c r="BH205" s="70"/>
    </row>
    <row r="206" spans="1:60" x14ac:dyDescent="0.25">
      <c r="A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c r="BE206" s="70"/>
      <c r="BF206" s="70"/>
      <c r="BG206" s="70"/>
      <c r="BH206" s="70"/>
    </row>
    <row r="207" spans="1:60" x14ac:dyDescent="0.25">
      <c r="A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c r="BE207" s="70"/>
      <c r="BF207" s="70"/>
      <c r="BG207" s="70"/>
      <c r="BH207" s="70"/>
    </row>
    <row r="208" spans="1:60" x14ac:dyDescent="0.25">
      <c r="A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c r="BE208" s="70"/>
      <c r="BF208" s="70"/>
      <c r="BG208" s="70"/>
      <c r="BH208" s="70"/>
    </row>
    <row r="209" spans="1:60" x14ac:dyDescent="0.25">
      <c r="A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c r="BE209" s="70"/>
      <c r="BF209" s="70"/>
      <c r="BG209" s="70"/>
      <c r="BH209" s="70"/>
    </row>
    <row r="210" spans="1:60" x14ac:dyDescent="0.25">
      <c r="A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c r="BE210" s="70"/>
      <c r="BF210" s="70"/>
      <c r="BG210" s="70"/>
      <c r="BH210" s="70"/>
    </row>
    <row r="211" spans="1:60" x14ac:dyDescent="0.25">
      <c r="A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c r="BE211" s="70"/>
      <c r="BF211" s="70"/>
      <c r="BG211" s="70"/>
      <c r="BH211" s="70"/>
    </row>
    <row r="212" spans="1:60" x14ac:dyDescent="0.25">
      <c r="A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row>
    <row r="213" spans="1:60" x14ac:dyDescent="0.25">
      <c r="A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row>
    <row r="214" spans="1:60" x14ac:dyDescent="0.25">
      <c r="A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70"/>
      <c r="BD214" s="70"/>
      <c r="BE214" s="70"/>
      <c r="BF214" s="70"/>
      <c r="BG214" s="70"/>
      <c r="BH214" s="70"/>
    </row>
    <row r="215" spans="1:60" x14ac:dyDescent="0.25">
      <c r="A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70"/>
      <c r="BD215" s="70"/>
      <c r="BE215" s="70"/>
      <c r="BF215" s="70"/>
      <c r="BG215" s="70"/>
      <c r="BH215" s="70"/>
    </row>
    <row r="216" spans="1:60" x14ac:dyDescent="0.25">
      <c r="A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c r="BA216" s="70"/>
      <c r="BB216" s="70"/>
      <c r="BC216" s="70"/>
      <c r="BD216" s="70"/>
      <c r="BE216" s="70"/>
      <c r="BF216" s="70"/>
      <c r="BG216" s="70"/>
      <c r="BH216" s="70"/>
    </row>
    <row r="217" spans="1:60" x14ac:dyDescent="0.25">
      <c r="A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row>
    <row r="218" spans="1:60" x14ac:dyDescent="0.25">
      <c r="A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row>
    <row r="219" spans="1:60" x14ac:dyDescent="0.25">
      <c r="A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70"/>
      <c r="BD219" s="70"/>
      <c r="BE219" s="70"/>
      <c r="BF219" s="70"/>
      <c r="BG219" s="70"/>
      <c r="BH219" s="70"/>
    </row>
    <row r="220" spans="1:60" x14ac:dyDescent="0.25">
      <c r="A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70"/>
      <c r="BH220" s="70"/>
    </row>
    <row r="221" spans="1:60" x14ac:dyDescent="0.25">
      <c r="A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c r="BA221" s="70"/>
      <c r="BB221" s="70"/>
      <c r="BC221" s="70"/>
      <c r="BD221" s="70"/>
      <c r="BE221" s="70"/>
      <c r="BF221" s="70"/>
      <c r="BG221" s="70"/>
      <c r="BH221" s="70"/>
    </row>
    <row r="222" spans="1:60" x14ac:dyDescent="0.25">
      <c r="A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c r="BC222" s="70"/>
      <c r="BD222" s="70"/>
      <c r="BE222" s="70"/>
      <c r="BF222" s="70"/>
      <c r="BG222" s="70"/>
      <c r="BH222" s="70"/>
    </row>
    <row r="223" spans="1:60" x14ac:dyDescent="0.25">
      <c r="A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row>
    <row r="224" spans="1:60" x14ac:dyDescent="0.25">
      <c r="A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70"/>
      <c r="BH224" s="70"/>
    </row>
    <row r="225" spans="1:60" x14ac:dyDescent="0.25">
      <c r="A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c r="BE225" s="70"/>
      <c r="BF225" s="70"/>
      <c r="BG225" s="70"/>
      <c r="BH225" s="70"/>
    </row>
    <row r="226" spans="1:60" x14ac:dyDescent="0.25">
      <c r="A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row>
    <row r="227" spans="1:60" x14ac:dyDescent="0.25">
      <c r="A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c r="BA227" s="70"/>
      <c r="BB227" s="70"/>
      <c r="BC227" s="70"/>
      <c r="BD227" s="70"/>
      <c r="BE227" s="70"/>
      <c r="BF227" s="70"/>
      <c r="BG227" s="70"/>
      <c r="BH227" s="70"/>
    </row>
    <row r="228" spans="1:60" x14ac:dyDescent="0.25">
      <c r="A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70"/>
      <c r="BH228" s="70"/>
    </row>
    <row r="229" spans="1:60" x14ac:dyDescent="0.25">
      <c r="A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c r="BA229" s="70"/>
      <c r="BB229" s="70"/>
      <c r="BC229" s="70"/>
      <c r="BD229" s="70"/>
      <c r="BE229" s="70"/>
      <c r="BF229" s="70"/>
      <c r="BG229" s="70"/>
      <c r="BH229" s="70"/>
    </row>
    <row r="230" spans="1:60" x14ac:dyDescent="0.25">
      <c r="A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c r="BA230" s="70"/>
      <c r="BB230" s="70"/>
      <c r="BC230" s="70"/>
      <c r="BD230" s="70"/>
      <c r="BE230" s="70"/>
      <c r="BF230" s="70"/>
      <c r="BG230" s="70"/>
      <c r="BH230" s="70"/>
    </row>
    <row r="231" spans="1:60" x14ac:dyDescent="0.25">
      <c r="A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c r="BA231" s="70"/>
      <c r="BB231" s="70"/>
      <c r="BC231" s="70"/>
      <c r="BD231" s="70"/>
      <c r="BE231" s="70"/>
      <c r="BF231" s="70"/>
      <c r="BG231" s="70"/>
      <c r="BH231" s="70"/>
    </row>
    <row r="232" spans="1:60" x14ac:dyDescent="0.25">
      <c r="A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row>
    <row r="233" spans="1:60" x14ac:dyDescent="0.25">
      <c r="A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c r="BA233" s="70"/>
      <c r="BB233" s="70"/>
      <c r="BC233" s="70"/>
      <c r="BD233" s="70"/>
      <c r="BE233" s="70"/>
      <c r="BF233" s="70"/>
      <c r="BG233" s="70"/>
      <c r="BH233" s="70"/>
    </row>
    <row r="234" spans="1:60" x14ac:dyDescent="0.25">
      <c r="A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c r="BA234" s="70"/>
      <c r="BB234" s="70"/>
      <c r="BC234" s="70"/>
      <c r="BD234" s="70"/>
      <c r="BE234" s="70"/>
      <c r="BF234" s="70"/>
      <c r="BG234" s="70"/>
      <c r="BH234" s="70"/>
    </row>
    <row r="235" spans="1:60" x14ac:dyDescent="0.25">
      <c r="A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c r="BA235" s="70"/>
      <c r="BB235" s="70"/>
      <c r="BC235" s="70"/>
      <c r="BD235" s="70"/>
      <c r="BE235" s="70"/>
      <c r="BF235" s="70"/>
      <c r="BG235" s="70"/>
      <c r="BH235" s="70"/>
    </row>
    <row r="236" spans="1:60" x14ac:dyDescent="0.25">
      <c r="A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c r="BA236" s="70"/>
      <c r="BB236" s="70"/>
      <c r="BC236" s="70"/>
      <c r="BD236" s="70"/>
      <c r="BE236" s="70"/>
      <c r="BF236" s="70"/>
      <c r="BG236" s="70"/>
      <c r="BH236" s="70"/>
    </row>
    <row r="237" spans="1:60" x14ac:dyDescent="0.25">
      <c r="A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c r="BA237" s="70"/>
      <c r="BB237" s="70"/>
      <c r="BC237" s="70"/>
      <c r="BD237" s="70"/>
      <c r="BE237" s="70"/>
      <c r="BF237" s="70"/>
      <c r="BG237" s="70"/>
      <c r="BH237" s="70"/>
    </row>
    <row r="238" spans="1:60" x14ac:dyDescent="0.25">
      <c r="A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c r="BE238" s="70"/>
      <c r="BF238" s="70"/>
      <c r="BG238" s="70"/>
      <c r="BH238" s="70"/>
    </row>
    <row r="239" spans="1:60" x14ac:dyDescent="0.25">
      <c r="A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c r="BA239" s="70"/>
      <c r="BB239" s="70"/>
      <c r="BC239" s="70"/>
      <c r="BD239" s="70"/>
      <c r="BE239" s="70"/>
      <c r="BF239" s="70"/>
      <c r="BG239" s="70"/>
      <c r="BH239" s="70"/>
    </row>
    <row r="240" spans="1:60" x14ac:dyDescent="0.25">
      <c r="A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row>
    <row r="241" spans="1:60" x14ac:dyDescent="0.25">
      <c r="A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c r="BA241" s="70"/>
      <c r="BB241" s="70"/>
      <c r="BC241" s="70"/>
      <c r="BD241" s="70"/>
      <c r="BE241" s="70"/>
      <c r="BF241" s="70"/>
      <c r="BG241" s="70"/>
      <c r="BH241" s="70"/>
    </row>
    <row r="242" spans="1:60" x14ac:dyDescent="0.25">
      <c r="A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c r="BA242" s="70"/>
      <c r="BB242" s="70"/>
      <c r="BC242" s="70"/>
      <c r="BD242" s="70"/>
      <c r="BE242" s="70"/>
      <c r="BF242" s="70"/>
      <c r="BG242" s="70"/>
      <c r="BH242" s="70"/>
    </row>
    <row r="243" spans="1:60" x14ac:dyDescent="0.25">
      <c r="A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c r="BA243" s="70"/>
      <c r="BB243" s="70"/>
      <c r="BC243" s="70"/>
      <c r="BD243" s="70"/>
      <c r="BE243" s="70"/>
      <c r="BF243" s="70"/>
      <c r="BG243" s="70"/>
      <c r="BH243" s="70"/>
    </row>
    <row r="244" spans="1:60" x14ac:dyDescent="0.25">
      <c r="A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c r="BA244" s="70"/>
      <c r="BB244" s="70"/>
      <c r="BC244" s="70"/>
      <c r="BD244" s="70"/>
      <c r="BE244" s="70"/>
      <c r="BF244" s="70"/>
      <c r="BG244" s="70"/>
      <c r="BH244" s="70"/>
    </row>
    <row r="245" spans="1:60" x14ac:dyDescent="0.25">
      <c r="A245" s="70"/>
    </row>
    <row r="246" spans="1:60" x14ac:dyDescent="0.25">
      <c r="A246" s="70"/>
    </row>
    <row r="247" spans="1:60" x14ac:dyDescent="0.25">
      <c r="A247" s="70"/>
    </row>
    <row r="248" spans="1:60" x14ac:dyDescent="0.25">
      <c r="A248" s="70"/>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F0"/>
  </sheetPr>
  <dimension ref="A1:AK55"/>
  <sheetViews>
    <sheetView zoomScale="90" zoomScaleNormal="90" workbookViewId="0">
      <selection activeCell="B4" sqref="B4:D8"/>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70"/>
      <c r="B1" s="446" t="s">
        <v>290</v>
      </c>
      <c r="C1" s="446"/>
      <c r="D1" s="446"/>
      <c r="E1" s="70"/>
      <c r="F1" s="70"/>
      <c r="G1" s="70"/>
      <c r="H1" s="70"/>
      <c r="I1" s="70"/>
      <c r="J1" s="70"/>
      <c r="K1" s="70"/>
      <c r="L1" s="70"/>
      <c r="M1" s="70"/>
      <c r="N1" s="70"/>
      <c r="O1" s="70"/>
      <c r="P1" s="70"/>
      <c r="Q1" s="70"/>
      <c r="R1" s="70"/>
      <c r="S1" s="70"/>
      <c r="T1" s="70"/>
      <c r="U1" s="70"/>
      <c r="V1" s="70"/>
      <c r="W1" s="70"/>
      <c r="X1" s="70"/>
      <c r="Y1" s="70"/>
      <c r="Z1" s="70"/>
      <c r="AA1" s="70"/>
      <c r="AB1" s="70"/>
      <c r="AC1" s="70"/>
      <c r="AD1" s="70"/>
      <c r="AE1" s="70"/>
    </row>
    <row r="2" spans="1:37"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row>
    <row r="3" spans="1:37" ht="25.5" x14ac:dyDescent="0.25">
      <c r="A3" s="70"/>
      <c r="B3" s="3"/>
      <c r="C3" s="4" t="s">
        <v>291</v>
      </c>
      <c r="D3" s="4" t="s">
        <v>249</v>
      </c>
      <c r="E3" s="70"/>
      <c r="F3" s="70"/>
      <c r="G3" s="70"/>
      <c r="H3" s="70"/>
      <c r="I3" s="70"/>
      <c r="J3" s="70"/>
      <c r="K3" s="70"/>
      <c r="L3" s="70"/>
      <c r="M3" s="70"/>
      <c r="N3" s="70"/>
      <c r="O3" s="70"/>
      <c r="P3" s="70"/>
      <c r="Q3" s="70"/>
      <c r="R3" s="70"/>
      <c r="S3" s="70"/>
      <c r="T3" s="70"/>
      <c r="U3" s="70"/>
      <c r="V3" s="70"/>
      <c r="W3" s="70"/>
      <c r="X3" s="70"/>
      <c r="Y3" s="70"/>
      <c r="Z3" s="70"/>
      <c r="AA3" s="70"/>
      <c r="AB3" s="70"/>
      <c r="AC3" s="70"/>
      <c r="AD3" s="70"/>
      <c r="AE3" s="70"/>
    </row>
    <row r="4" spans="1:37" ht="51" x14ac:dyDescent="0.25">
      <c r="A4" s="70"/>
      <c r="B4" s="5" t="s">
        <v>292</v>
      </c>
      <c r="C4" s="6" t="s">
        <v>216</v>
      </c>
      <c r="D4" s="7">
        <v>0.2</v>
      </c>
      <c r="E4" s="70"/>
      <c r="F4" s="70"/>
      <c r="G4" s="70"/>
      <c r="H4" s="70"/>
      <c r="I4" s="70"/>
      <c r="J4" s="70"/>
      <c r="K4" s="70"/>
      <c r="L4" s="70"/>
      <c r="M4" s="70"/>
      <c r="N4" s="70"/>
      <c r="O4" s="70"/>
      <c r="P4" s="70"/>
      <c r="Q4" s="70"/>
      <c r="R4" s="70"/>
      <c r="S4" s="70"/>
      <c r="T4" s="70"/>
      <c r="U4" s="70"/>
      <c r="V4" s="70"/>
      <c r="W4" s="70"/>
      <c r="X4" s="70"/>
      <c r="Y4" s="70"/>
      <c r="Z4" s="70"/>
      <c r="AA4" s="70"/>
      <c r="AB4" s="70"/>
      <c r="AC4" s="70"/>
      <c r="AD4" s="70"/>
      <c r="AE4" s="70"/>
    </row>
    <row r="5" spans="1:37" ht="51" x14ac:dyDescent="0.25">
      <c r="A5" s="70"/>
      <c r="B5" s="8" t="s">
        <v>250</v>
      </c>
      <c r="C5" s="9" t="s">
        <v>108</v>
      </c>
      <c r="D5" s="10">
        <v>0.4</v>
      </c>
      <c r="E5" s="70"/>
      <c r="F5" s="70"/>
      <c r="G5" s="70"/>
      <c r="H5" s="70"/>
      <c r="I5" s="70"/>
      <c r="J5" s="70"/>
      <c r="K5" s="70"/>
      <c r="L5" s="70"/>
      <c r="M5" s="70"/>
      <c r="N5" s="70"/>
      <c r="O5" s="70"/>
      <c r="P5" s="70"/>
      <c r="Q5" s="70"/>
      <c r="R5" s="70"/>
      <c r="S5" s="70"/>
      <c r="T5" s="70"/>
      <c r="U5" s="70"/>
      <c r="V5" s="70"/>
      <c r="W5" s="70"/>
      <c r="X5" s="70"/>
      <c r="Y5" s="70"/>
      <c r="Z5" s="70"/>
      <c r="AA5" s="70"/>
      <c r="AB5" s="70"/>
      <c r="AC5" s="70"/>
      <c r="AD5" s="70"/>
      <c r="AE5" s="70"/>
    </row>
    <row r="6" spans="1:37" ht="51" x14ac:dyDescent="0.25">
      <c r="A6" s="70"/>
      <c r="B6" s="11" t="s">
        <v>293</v>
      </c>
      <c r="C6" s="9" t="s">
        <v>130</v>
      </c>
      <c r="D6" s="10">
        <v>0.6</v>
      </c>
      <c r="E6" s="70"/>
      <c r="F6" s="70"/>
      <c r="G6" s="70"/>
      <c r="H6" s="70"/>
      <c r="I6" s="70"/>
      <c r="J6" s="70"/>
      <c r="K6" s="70"/>
      <c r="L6" s="70"/>
      <c r="M6" s="70"/>
      <c r="N6" s="70"/>
      <c r="O6" s="70"/>
      <c r="P6" s="70"/>
      <c r="Q6" s="70"/>
      <c r="R6" s="70"/>
      <c r="S6" s="70"/>
      <c r="T6" s="70"/>
      <c r="U6" s="70"/>
      <c r="V6" s="70"/>
      <c r="W6" s="70"/>
      <c r="X6" s="70"/>
      <c r="Y6" s="70"/>
      <c r="Z6" s="70"/>
      <c r="AA6" s="70"/>
      <c r="AB6" s="70"/>
      <c r="AC6" s="70"/>
      <c r="AD6" s="70"/>
      <c r="AE6" s="70"/>
    </row>
    <row r="7" spans="1:37" ht="76.5" x14ac:dyDescent="0.25">
      <c r="A7" s="70"/>
      <c r="B7" s="12" t="s">
        <v>294</v>
      </c>
      <c r="C7" s="9" t="s">
        <v>295</v>
      </c>
      <c r="D7" s="10">
        <v>0.8</v>
      </c>
      <c r="E7" s="70"/>
      <c r="F7" s="70"/>
      <c r="G7" s="70"/>
      <c r="H7" s="70"/>
      <c r="I7" s="70"/>
      <c r="J7" s="70"/>
      <c r="K7" s="70"/>
      <c r="L7" s="70"/>
      <c r="M7" s="70"/>
      <c r="N7" s="70"/>
      <c r="O7" s="70"/>
      <c r="P7" s="70"/>
      <c r="Q7" s="70"/>
      <c r="R7" s="70"/>
      <c r="S7" s="70"/>
      <c r="T7" s="70"/>
      <c r="U7" s="70"/>
      <c r="V7" s="70"/>
      <c r="W7" s="70"/>
      <c r="X7" s="70"/>
      <c r="Y7" s="70"/>
      <c r="Z7" s="70"/>
      <c r="AA7" s="70"/>
      <c r="AB7" s="70"/>
      <c r="AC7" s="70"/>
      <c r="AD7" s="70"/>
      <c r="AE7" s="70"/>
    </row>
    <row r="8" spans="1:37" ht="51" x14ac:dyDescent="0.25">
      <c r="A8" s="70"/>
      <c r="B8" s="13" t="s">
        <v>296</v>
      </c>
      <c r="C8" s="9" t="s">
        <v>297</v>
      </c>
      <c r="D8" s="10">
        <v>1</v>
      </c>
      <c r="E8" s="70"/>
      <c r="F8" s="70"/>
      <c r="G8" s="70"/>
      <c r="H8" s="70"/>
      <c r="I8" s="70"/>
      <c r="J8" s="70"/>
      <c r="K8" s="70"/>
      <c r="L8" s="70"/>
      <c r="M8" s="70"/>
      <c r="N8" s="70"/>
      <c r="O8" s="70"/>
      <c r="P8" s="70"/>
      <c r="Q8" s="70"/>
      <c r="R8" s="70"/>
      <c r="S8" s="70"/>
      <c r="T8" s="70"/>
      <c r="U8" s="70"/>
      <c r="V8" s="70"/>
      <c r="W8" s="70"/>
      <c r="X8" s="70"/>
      <c r="Y8" s="70"/>
      <c r="Z8" s="70"/>
      <c r="AA8" s="70"/>
      <c r="AB8" s="70"/>
      <c r="AC8" s="70"/>
      <c r="AD8" s="70"/>
      <c r="AE8" s="70"/>
    </row>
    <row r="9" spans="1:37" x14ac:dyDescent="0.25">
      <c r="A9" s="70"/>
      <c r="B9" s="83"/>
      <c r="C9" s="83"/>
      <c r="D9" s="83"/>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37" ht="16.5" x14ac:dyDescent="0.25">
      <c r="A10" s="70"/>
      <c r="B10" s="84"/>
      <c r="C10" s="83"/>
      <c r="D10" s="83"/>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37" x14ac:dyDescent="0.25">
      <c r="A11" s="70"/>
      <c r="B11" s="83"/>
      <c r="C11" s="83"/>
      <c r="D11" s="83"/>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37" x14ac:dyDescent="0.25">
      <c r="A12" s="70"/>
      <c r="B12" s="83"/>
      <c r="C12" s="83"/>
      <c r="D12" s="83"/>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row>
    <row r="13" spans="1:37" x14ac:dyDescent="0.25">
      <c r="A13" s="70"/>
      <c r="B13" s="83"/>
      <c r="C13" s="83"/>
      <c r="D13" s="83"/>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37" x14ac:dyDescent="0.25">
      <c r="A14" s="70"/>
      <c r="B14" s="83"/>
      <c r="C14" s="83"/>
      <c r="D14" s="83"/>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7" x14ac:dyDescent="0.25">
      <c r="A15" s="70"/>
      <c r="B15" s="83"/>
      <c r="C15" s="83"/>
      <c r="D15" s="83"/>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row>
    <row r="16" spans="1:37" x14ac:dyDescent="0.25">
      <c r="A16" s="70"/>
      <c r="B16" s="83"/>
      <c r="C16" s="83"/>
      <c r="D16" s="83"/>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row>
    <row r="17" spans="1:37" x14ac:dyDescent="0.25">
      <c r="A17" s="70"/>
      <c r="B17" s="83"/>
      <c r="C17" s="83"/>
      <c r="D17" s="83"/>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row>
    <row r="18" spans="1:37" x14ac:dyDescent="0.25">
      <c r="A18" s="70"/>
      <c r="B18" s="83"/>
      <c r="C18" s="83"/>
      <c r="D18" s="83"/>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row>
    <row r="19" spans="1:37" x14ac:dyDescent="0.2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row>
    <row r="20" spans="1:37" x14ac:dyDescent="0.2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row>
    <row r="21" spans="1:37" x14ac:dyDescent="0.2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37" x14ac:dyDescent="0.2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37" x14ac:dyDescent="0.2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row>
    <row r="25" spans="1:37" x14ac:dyDescent="0.2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37" x14ac:dyDescent="0.2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37" x14ac:dyDescent="0.2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37" x14ac:dyDescent="0.2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row>
    <row r="29" spans="1:37" x14ac:dyDescent="0.2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37" x14ac:dyDescent="0.2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x14ac:dyDescent="0.2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37" x14ac:dyDescent="0.2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1:31" x14ac:dyDescent="0.25">
      <c r="A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row>
    <row r="34" spans="1:31" x14ac:dyDescent="0.25">
      <c r="A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row>
    <row r="35" spans="1:31" x14ac:dyDescent="0.25">
      <c r="A35" s="70"/>
    </row>
    <row r="36" spans="1:31" x14ac:dyDescent="0.25">
      <c r="A36" s="70"/>
    </row>
    <row r="37" spans="1:31" x14ac:dyDescent="0.25">
      <c r="A37" s="70"/>
    </row>
    <row r="38" spans="1:31" x14ac:dyDescent="0.25">
      <c r="A38" s="70"/>
    </row>
    <row r="39" spans="1:31" x14ac:dyDescent="0.25">
      <c r="A39" s="70"/>
    </row>
    <row r="40" spans="1:31" x14ac:dyDescent="0.25">
      <c r="A40" s="70"/>
    </row>
    <row r="41" spans="1:31" x14ac:dyDescent="0.25">
      <c r="A41" s="70"/>
    </row>
    <row r="42" spans="1:31" x14ac:dyDescent="0.25">
      <c r="A42" s="70"/>
    </row>
    <row r="43" spans="1:31" x14ac:dyDescent="0.25">
      <c r="A43" s="70"/>
    </row>
    <row r="44" spans="1:31" x14ac:dyDescent="0.25">
      <c r="A44" s="70"/>
    </row>
    <row r="45" spans="1:31" x14ac:dyDescent="0.25">
      <c r="A45" s="70"/>
    </row>
    <row r="46" spans="1:31" x14ac:dyDescent="0.25">
      <c r="A46" s="70"/>
    </row>
    <row r="47" spans="1:31" x14ac:dyDescent="0.25">
      <c r="A47" s="70"/>
    </row>
    <row r="48" spans="1:31" x14ac:dyDescent="0.25">
      <c r="A48" s="70"/>
    </row>
    <row r="49" spans="1:1" x14ac:dyDescent="0.25">
      <c r="A49" s="70"/>
    </row>
    <row r="50" spans="1:1" x14ac:dyDescent="0.25">
      <c r="A50" s="70"/>
    </row>
    <row r="51" spans="1:1" x14ac:dyDescent="0.25">
      <c r="A51" s="70"/>
    </row>
    <row r="52" spans="1:1" x14ac:dyDescent="0.25">
      <c r="A52" s="70"/>
    </row>
    <row r="53" spans="1:1" x14ac:dyDescent="0.25">
      <c r="A53" s="70"/>
    </row>
    <row r="54" spans="1:1" x14ac:dyDescent="0.25">
      <c r="A54" s="70"/>
    </row>
    <row r="55" spans="1:1" x14ac:dyDescent="0.25">
      <c r="A55" s="7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6" tint="-0.249977111117893"/>
  </sheetPr>
  <dimension ref="A1:U232"/>
  <sheetViews>
    <sheetView zoomScale="60" zoomScaleNormal="60" workbookViewId="0">
      <selection activeCell="C7" sqref="C7"/>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0"/>
      <c r="B1" s="447" t="s">
        <v>298</v>
      </c>
      <c r="C1" s="447"/>
      <c r="D1" s="447"/>
      <c r="E1" s="70"/>
      <c r="F1" s="70"/>
      <c r="G1" s="70"/>
      <c r="H1" s="70"/>
      <c r="I1" s="70"/>
      <c r="J1" s="70"/>
      <c r="K1" s="70"/>
      <c r="L1" s="70"/>
      <c r="M1" s="70"/>
      <c r="N1" s="70"/>
      <c r="O1" s="70"/>
      <c r="P1" s="70"/>
      <c r="Q1" s="70"/>
      <c r="R1" s="70"/>
      <c r="S1" s="70"/>
      <c r="T1" s="70"/>
      <c r="U1" s="70"/>
    </row>
    <row r="2" spans="1:21" x14ac:dyDescent="0.25">
      <c r="A2" s="70"/>
      <c r="B2" s="70"/>
      <c r="C2" s="70"/>
      <c r="D2" s="70"/>
      <c r="E2" s="70"/>
      <c r="F2" s="70"/>
      <c r="G2" s="70"/>
      <c r="H2" s="70"/>
      <c r="I2" s="70"/>
      <c r="J2" s="70"/>
      <c r="K2" s="70"/>
      <c r="L2" s="70"/>
      <c r="M2" s="70"/>
      <c r="N2" s="70"/>
      <c r="O2" s="70"/>
      <c r="P2" s="70"/>
      <c r="Q2" s="70"/>
      <c r="R2" s="70"/>
      <c r="S2" s="70"/>
      <c r="T2" s="70"/>
      <c r="U2" s="70"/>
    </row>
    <row r="3" spans="1:21" ht="30" x14ac:dyDescent="0.25">
      <c r="A3" s="70"/>
      <c r="B3" s="80"/>
      <c r="C3" s="22" t="s">
        <v>299</v>
      </c>
      <c r="D3" s="22" t="s">
        <v>300</v>
      </c>
      <c r="E3" s="70"/>
      <c r="F3" s="70"/>
      <c r="G3" s="70"/>
      <c r="H3" s="70"/>
      <c r="I3" s="70"/>
      <c r="J3" s="70"/>
      <c r="K3" s="70"/>
      <c r="L3" s="70"/>
      <c r="M3" s="70"/>
      <c r="N3" s="70"/>
      <c r="O3" s="70"/>
      <c r="P3" s="70"/>
      <c r="Q3" s="70"/>
      <c r="R3" s="70"/>
      <c r="S3" s="70"/>
      <c r="T3" s="70"/>
      <c r="U3" s="70"/>
    </row>
    <row r="4" spans="1:21" ht="33.75" x14ac:dyDescent="0.25">
      <c r="A4" s="79" t="s">
        <v>301</v>
      </c>
      <c r="B4" s="25" t="s">
        <v>302</v>
      </c>
      <c r="C4" s="30" t="s">
        <v>303</v>
      </c>
      <c r="D4" s="23" t="s">
        <v>304</v>
      </c>
      <c r="E4" s="70"/>
      <c r="F4" s="70"/>
      <c r="G4" s="70"/>
      <c r="H4" s="70"/>
      <c r="I4" s="70"/>
      <c r="J4" s="70"/>
      <c r="K4" s="70"/>
      <c r="L4" s="70"/>
      <c r="M4" s="70"/>
      <c r="N4" s="70"/>
      <c r="O4" s="70"/>
      <c r="P4" s="70"/>
      <c r="Q4" s="70"/>
      <c r="R4" s="70"/>
      <c r="S4" s="70"/>
      <c r="T4" s="70"/>
      <c r="U4" s="70"/>
    </row>
    <row r="5" spans="1:21" ht="67.5" x14ac:dyDescent="0.25">
      <c r="A5" s="79" t="s">
        <v>251</v>
      </c>
      <c r="B5" s="26" t="s">
        <v>305</v>
      </c>
      <c r="C5" s="31" t="s">
        <v>306</v>
      </c>
      <c r="D5" s="24" t="s">
        <v>307</v>
      </c>
      <c r="E5" s="70"/>
      <c r="F5" s="70"/>
      <c r="G5" s="70"/>
      <c r="H5" s="70"/>
      <c r="I5" s="70"/>
      <c r="J5" s="70"/>
      <c r="K5" s="70"/>
      <c r="L5" s="70"/>
      <c r="M5" s="70"/>
      <c r="N5" s="70"/>
      <c r="O5" s="70"/>
      <c r="P5" s="70"/>
      <c r="Q5" s="70"/>
      <c r="R5" s="70"/>
      <c r="S5" s="70"/>
      <c r="T5" s="70"/>
      <c r="U5" s="70"/>
    </row>
    <row r="6" spans="1:21" ht="67.5" x14ac:dyDescent="0.25">
      <c r="A6" s="79" t="s">
        <v>252</v>
      </c>
      <c r="B6" s="27" t="s">
        <v>308</v>
      </c>
      <c r="C6" s="31" t="s">
        <v>309</v>
      </c>
      <c r="D6" s="24" t="s">
        <v>310</v>
      </c>
      <c r="E6" s="70"/>
      <c r="F6" s="70"/>
      <c r="G6" s="70"/>
      <c r="H6" s="70"/>
      <c r="I6" s="70"/>
      <c r="J6" s="70"/>
      <c r="K6" s="70"/>
      <c r="L6" s="70"/>
      <c r="M6" s="70"/>
      <c r="N6" s="70"/>
      <c r="O6" s="70"/>
      <c r="P6" s="70"/>
      <c r="Q6" s="70"/>
      <c r="R6" s="70"/>
      <c r="S6" s="70"/>
      <c r="T6" s="70"/>
      <c r="U6" s="70"/>
    </row>
    <row r="7" spans="1:21" ht="101.25" x14ac:dyDescent="0.25">
      <c r="A7" s="79" t="s">
        <v>311</v>
      </c>
      <c r="B7" s="28" t="s">
        <v>312</v>
      </c>
      <c r="C7" s="31" t="s">
        <v>313</v>
      </c>
      <c r="D7" s="24" t="s">
        <v>314</v>
      </c>
      <c r="E7" s="70"/>
      <c r="F7" s="70"/>
      <c r="G7" s="70"/>
      <c r="H7" s="70"/>
      <c r="I7" s="70"/>
      <c r="J7" s="70"/>
      <c r="K7" s="70"/>
      <c r="L7" s="70"/>
      <c r="M7" s="70"/>
      <c r="N7" s="70"/>
      <c r="O7" s="70"/>
      <c r="P7" s="70"/>
      <c r="Q7" s="70"/>
      <c r="R7" s="70"/>
      <c r="S7" s="70"/>
      <c r="T7" s="70"/>
      <c r="U7" s="70"/>
    </row>
    <row r="8" spans="1:21" ht="67.5" x14ac:dyDescent="0.25">
      <c r="A8" s="79" t="s">
        <v>315</v>
      </c>
      <c r="B8" s="29" t="s">
        <v>316</v>
      </c>
      <c r="C8" s="31" t="s">
        <v>317</v>
      </c>
      <c r="D8" s="24" t="s">
        <v>318</v>
      </c>
      <c r="E8" s="70"/>
      <c r="F8" s="70"/>
      <c r="G8" s="70"/>
      <c r="H8" s="70"/>
      <c r="I8" s="70"/>
      <c r="J8" s="70"/>
      <c r="K8" s="70"/>
      <c r="L8" s="70"/>
      <c r="M8" s="70"/>
      <c r="N8" s="70"/>
      <c r="O8" s="70"/>
      <c r="P8" s="70"/>
      <c r="Q8" s="70"/>
      <c r="R8" s="70"/>
      <c r="S8" s="70"/>
      <c r="T8" s="70"/>
      <c r="U8" s="70"/>
    </row>
    <row r="9" spans="1:21" ht="20.25" x14ac:dyDescent="0.25">
      <c r="A9" s="79"/>
      <c r="B9" s="79"/>
      <c r="C9" s="81"/>
      <c r="D9" s="81"/>
      <c r="E9" s="70"/>
      <c r="F9" s="70"/>
      <c r="G9" s="70"/>
      <c r="H9" s="70"/>
      <c r="I9" s="70"/>
      <c r="J9" s="70"/>
      <c r="K9" s="70"/>
      <c r="L9" s="70"/>
      <c r="M9" s="70"/>
      <c r="N9" s="70"/>
      <c r="O9" s="70"/>
      <c r="P9" s="70"/>
      <c r="Q9" s="70"/>
      <c r="R9" s="70"/>
      <c r="S9" s="70"/>
      <c r="T9" s="70"/>
      <c r="U9" s="70"/>
    </row>
    <row r="10" spans="1:21" ht="16.5" x14ac:dyDescent="0.25">
      <c r="A10" s="79"/>
      <c r="B10" s="82"/>
      <c r="C10" s="82"/>
      <c r="D10" s="82"/>
      <c r="E10" s="70"/>
      <c r="F10" s="70"/>
      <c r="G10" s="70"/>
      <c r="H10" s="70"/>
      <c r="I10" s="70"/>
      <c r="J10" s="70"/>
      <c r="K10" s="70"/>
      <c r="L10" s="70"/>
      <c r="M10" s="70"/>
      <c r="N10" s="70"/>
      <c r="O10" s="70"/>
      <c r="P10" s="70"/>
      <c r="Q10" s="70"/>
      <c r="R10" s="70"/>
      <c r="S10" s="70"/>
      <c r="T10" s="70"/>
      <c r="U10" s="70"/>
    </row>
    <row r="11" spans="1:21" x14ac:dyDescent="0.25">
      <c r="A11" s="79"/>
      <c r="B11" s="79" t="s">
        <v>319</v>
      </c>
      <c r="C11" s="79" t="s">
        <v>320</v>
      </c>
      <c r="D11" s="79" t="s">
        <v>248</v>
      </c>
      <c r="E11" s="70"/>
      <c r="F11" s="70"/>
      <c r="G11" s="70"/>
      <c r="H11" s="70"/>
      <c r="I11" s="70"/>
      <c r="J11" s="70"/>
      <c r="K11" s="70"/>
      <c r="L11" s="70"/>
      <c r="M11" s="70"/>
      <c r="N11" s="70"/>
      <c r="O11" s="70"/>
      <c r="P11" s="70"/>
      <c r="Q11" s="70"/>
      <c r="R11" s="70"/>
      <c r="S11" s="70"/>
      <c r="T11" s="70"/>
      <c r="U11" s="70"/>
    </row>
    <row r="12" spans="1:21" x14ac:dyDescent="0.25">
      <c r="A12" s="79"/>
      <c r="B12" s="79" t="s">
        <v>321</v>
      </c>
      <c r="C12" s="79" t="s">
        <v>322</v>
      </c>
      <c r="D12" s="79" t="s">
        <v>217</v>
      </c>
      <c r="E12" s="70"/>
      <c r="F12" s="70"/>
      <c r="G12" s="70"/>
      <c r="H12" s="70"/>
      <c r="I12" s="70"/>
      <c r="J12" s="70"/>
      <c r="K12" s="70"/>
      <c r="L12" s="70"/>
      <c r="M12" s="70"/>
      <c r="N12" s="70"/>
      <c r="O12" s="70"/>
      <c r="P12" s="70"/>
      <c r="Q12" s="70"/>
      <c r="R12" s="70"/>
      <c r="S12" s="70"/>
      <c r="T12" s="70"/>
      <c r="U12" s="70"/>
    </row>
    <row r="13" spans="1:21" x14ac:dyDescent="0.25">
      <c r="A13" s="79"/>
      <c r="B13" s="79"/>
      <c r="C13" s="79" t="s">
        <v>323</v>
      </c>
      <c r="D13" s="79" t="s">
        <v>109</v>
      </c>
      <c r="E13" s="70"/>
      <c r="F13" s="70"/>
      <c r="G13" s="70"/>
      <c r="H13" s="70"/>
      <c r="I13" s="70"/>
      <c r="J13" s="70"/>
      <c r="K13" s="70"/>
      <c r="L13" s="70"/>
      <c r="M13" s="70"/>
      <c r="N13" s="70"/>
      <c r="O13" s="70"/>
      <c r="P13" s="70"/>
      <c r="Q13" s="70"/>
      <c r="R13" s="70"/>
      <c r="S13" s="70"/>
      <c r="T13" s="70"/>
      <c r="U13" s="70"/>
    </row>
    <row r="14" spans="1:21" x14ac:dyDescent="0.25">
      <c r="A14" s="79"/>
      <c r="B14" s="79"/>
      <c r="C14" s="79" t="s">
        <v>324</v>
      </c>
      <c r="D14" s="79" t="s">
        <v>325</v>
      </c>
      <c r="E14" s="70"/>
      <c r="F14" s="70"/>
      <c r="G14" s="70"/>
      <c r="H14" s="70"/>
      <c r="I14" s="70"/>
      <c r="J14" s="70"/>
      <c r="K14" s="70"/>
      <c r="L14" s="70"/>
      <c r="M14" s="70"/>
      <c r="N14" s="70"/>
      <c r="O14" s="70"/>
      <c r="P14" s="70"/>
      <c r="Q14" s="70"/>
      <c r="R14" s="70"/>
      <c r="S14" s="70"/>
      <c r="T14" s="70"/>
      <c r="U14" s="70"/>
    </row>
    <row r="15" spans="1:21" x14ac:dyDescent="0.25">
      <c r="A15" s="79"/>
      <c r="B15" s="79"/>
      <c r="C15" s="79" t="s">
        <v>326</v>
      </c>
      <c r="D15" s="79" t="s">
        <v>131</v>
      </c>
      <c r="E15" s="70"/>
      <c r="F15" s="70"/>
      <c r="G15" s="70"/>
      <c r="H15" s="70"/>
      <c r="I15" s="70"/>
      <c r="J15" s="70"/>
      <c r="K15" s="70"/>
      <c r="L15" s="70"/>
      <c r="M15" s="70"/>
      <c r="N15" s="70"/>
      <c r="O15" s="70"/>
      <c r="P15" s="70"/>
      <c r="Q15" s="70"/>
      <c r="R15" s="70"/>
      <c r="S15" s="70"/>
      <c r="T15" s="70"/>
      <c r="U15" s="70"/>
    </row>
    <row r="16" spans="1:21" x14ac:dyDescent="0.25">
      <c r="A16" s="79"/>
      <c r="B16" s="79"/>
      <c r="C16" s="79"/>
      <c r="D16" s="79"/>
      <c r="E16" s="70"/>
      <c r="F16" s="70"/>
      <c r="G16" s="70"/>
      <c r="H16" s="70"/>
      <c r="I16" s="70"/>
      <c r="J16" s="70"/>
      <c r="K16" s="70"/>
      <c r="L16" s="70"/>
      <c r="M16" s="70"/>
      <c r="N16" s="70"/>
      <c r="O16" s="70"/>
    </row>
    <row r="17" spans="1:15" x14ac:dyDescent="0.25">
      <c r="A17" s="79"/>
      <c r="B17" s="79"/>
      <c r="C17" s="79"/>
      <c r="D17" s="79"/>
      <c r="E17" s="70"/>
      <c r="F17" s="70"/>
      <c r="G17" s="70"/>
      <c r="H17" s="70"/>
      <c r="I17" s="70"/>
      <c r="J17" s="70"/>
      <c r="K17" s="70"/>
      <c r="L17" s="70"/>
      <c r="M17" s="70"/>
      <c r="N17" s="70"/>
      <c r="O17" s="70"/>
    </row>
    <row r="18" spans="1:15" x14ac:dyDescent="0.25">
      <c r="A18" s="79"/>
      <c r="B18" s="83"/>
      <c r="C18" s="83"/>
      <c r="D18" s="83"/>
      <c r="E18" s="70"/>
      <c r="F18" s="70"/>
      <c r="G18" s="70"/>
      <c r="H18" s="70"/>
      <c r="I18" s="70"/>
      <c r="J18" s="70"/>
      <c r="K18" s="70"/>
      <c r="L18" s="70"/>
      <c r="M18" s="70"/>
      <c r="N18" s="70"/>
      <c r="O18" s="70"/>
    </row>
    <row r="19" spans="1:15" x14ac:dyDescent="0.25">
      <c r="A19" s="79"/>
      <c r="B19" s="83"/>
      <c r="C19" s="83"/>
      <c r="D19" s="83"/>
      <c r="E19" s="70"/>
      <c r="F19" s="70"/>
      <c r="G19" s="70"/>
      <c r="H19" s="70"/>
      <c r="I19" s="70"/>
      <c r="J19" s="70"/>
      <c r="K19" s="70"/>
      <c r="L19" s="70"/>
      <c r="M19" s="70"/>
      <c r="N19" s="70"/>
      <c r="O19" s="70"/>
    </row>
    <row r="20" spans="1:15" x14ac:dyDescent="0.25">
      <c r="A20" s="79"/>
      <c r="B20" s="83"/>
      <c r="C20" s="83"/>
      <c r="D20" s="83"/>
      <c r="E20" s="70"/>
      <c r="F20" s="70"/>
      <c r="G20" s="70"/>
      <c r="H20" s="70"/>
      <c r="I20" s="70"/>
      <c r="J20" s="70"/>
      <c r="K20" s="70"/>
      <c r="L20" s="70"/>
      <c r="M20" s="70"/>
      <c r="N20" s="70"/>
      <c r="O20" s="70"/>
    </row>
    <row r="21" spans="1:15" x14ac:dyDescent="0.25">
      <c r="A21" s="79"/>
      <c r="B21" s="83"/>
      <c r="C21" s="83"/>
      <c r="D21" s="83"/>
      <c r="E21" s="70"/>
      <c r="F21" s="70"/>
      <c r="G21" s="70"/>
      <c r="H21" s="70"/>
      <c r="I21" s="70"/>
      <c r="J21" s="70"/>
      <c r="K21" s="70"/>
      <c r="L21" s="70"/>
      <c r="M21" s="70"/>
      <c r="N21" s="70"/>
      <c r="O21" s="70"/>
    </row>
    <row r="22" spans="1:15" ht="20.25" x14ac:dyDescent="0.25">
      <c r="A22" s="79"/>
      <c r="B22" s="79"/>
      <c r="C22" s="81"/>
      <c r="D22" s="81"/>
      <c r="E22" s="70"/>
      <c r="F22" s="70"/>
      <c r="G22" s="70"/>
      <c r="H22" s="70"/>
      <c r="I22" s="70"/>
      <c r="J22" s="70"/>
      <c r="K22" s="70"/>
      <c r="L22" s="70"/>
      <c r="M22" s="70"/>
      <c r="N22" s="70"/>
      <c r="O22" s="70"/>
    </row>
    <row r="23" spans="1:15" ht="20.25" x14ac:dyDescent="0.25">
      <c r="A23" s="79"/>
      <c r="B23" s="79"/>
      <c r="C23" s="81"/>
      <c r="D23" s="81"/>
      <c r="E23" s="70"/>
      <c r="F23" s="70"/>
      <c r="G23" s="70"/>
      <c r="H23" s="70"/>
      <c r="I23" s="70"/>
      <c r="J23" s="70"/>
      <c r="K23" s="70"/>
      <c r="L23" s="70"/>
      <c r="M23" s="70"/>
      <c r="N23" s="70"/>
      <c r="O23" s="70"/>
    </row>
    <row r="24" spans="1:15" ht="20.25" x14ac:dyDescent="0.25">
      <c r="A24" s="79"/>
      <c r="B24" s="79"/>
      <c r="C24" s="81"/>
      <c r="D24" s="81"/>
      <c r="E24" s="70"/>
      <c r="F24" s="70"/>
      <c r="G24" s="70"/>
      <c r="H24" s="70"/>
      <c r="I24" s="70"/>
      <c r="J24" s="70"/>
      <c r="K24" s="70"/>
      <c r="L24" s="70"/>
      <c r="M24" s="70"/>
      <c r="N24" s="70"/>
      <c r="O24" s="70"/>
    </row>
    <row r="25" spans="1:15" ht="20.25" x14ac:dyDescent="0.25">
      <c r="A25" s="79"/>
      <c r="B25" s="79"/>
      <c r="C25" s="81"/>
      <c r="D25" s="81"/>
      <c r="E25" s="70"/>
      <c r="F25" s="70"/>
      <c r="G25" s="70"/>
      <c r="H25" s="70"/>
      <c r="I25" s="70"/>
      <c r="J25" s="70"/>
      <c r="K25" s="70"/>
      <c r="L25" s="70"/>
      <c r="M25" s="70"/>
      <c r="N25" s="70"/>
      <c r="O25" s="70"/>
    </row>
    <row r="26" spans="1:15" ht="20.25" x14ac:dyDescent="0.25">
      <c r="A26" s="79"/>
      <c r="B26" s="79"/>
      <c r="C26" s="81"/>
      <c r="D26" s="81"/>
      <c r="E26" s="70"/>
      <c r="F26" s="70"/>
      <c r="G26" s="70"/>
      <c r="H26" s="70"/>
      <c r="I26" s="70"/>
      <c r="J26" s="70"/>
      <c r="K26" s="70"/>
      <c r="L26" s="70"/>
      <c r="M26" s="70"/>
      <c r="N26" s="70"/>
      <c r="O26" s="70"/>
    </row>
    <row r="27" spans="1:15" ht="20.25" x14ac:dyDescent="0.25">
      <c r="A27" s="79"/>
      <c r="B27" s="79"/>
      <c r="C27" s="81"/>
      <c r="D27" s="81"/>
      <c r="E27" s="70"/>
      <c r="F27" s="70"/>
      <c r="G27" s="70"/>
      <c r="H27" s="70"/>
      <c r="I27" s="70"/>
      <c r="J27" s="70"/>
      <c r="K27" s="70"/>
      <c r="L27" s="70"/>
      <c r="M27" s="70"/>
      <c r="N27" s="70"/>
      <c r="O27" s="70"/>
    </row>
    <row r="28" spans="1:15" ht="20.25" x14ac:dyDescent="0.25">
      <c r="A28" s="79"/>
      <c r="B28" s="79"/>
      <c r="C28" s="81"/>
      <c r="D28" s="81"/>
      <c r="E28" s="70"/>
      <c r="F28" s="70"/>
      <c r="G28" s="70"/>
      <c r="H28" s="70"/>
      <c r="I28" s="70"/>
      <c r="J28" s="70"/>
      <c r="K28" s="70"/>
      <c r="L28" s="70"/>
      <c r="M28" s="70"/>
      <c r="N28" s="70"/>
      <c r="O28" s="70"/>
    </row>
    <row r="29" spans="1:15" ht="20.25" x14ac:dyDescent="0.25">
      <c r="A29" s="79"/>
      <c r="B29" s="79"/>
      <c r="C29" s="81"/>
      <c r="D29" s="81"/>
      <c r="E29" s="70"/>
      <c r="F29" s="70"/>
      <c r="G29" s="70"/>
      <c r="H29" s="70"/>
      <c r="I29" s="70"/>
      <c r="J29" s="70"/>
      <c r="K29" s="70"/>
      <c r="L29" s="70"/>
      <c r="M29" s="70"/>
      <c r="N29" s="70"/>
      <c r="O29" s="70"/>
    </row>
    <row r="30" spans="1:15" ht="20.25" x14ac:dyDescent="0.25">
      <c r="A30" s="79"/>
      <c r="B30" s="79"/>
      <c r="C30" s="81"/>
      <c r="D30" s="81"/>
      <c r="E30" s="70"/>
      <c r="F30" s="70"/>
      <c r="G30" s="70"/>
      <c r="H30" s="70"/>
      <c r="I30" s="70"/>
      <c r="J30" s="70"/>
      <c r="K30" s="70"/>
      <c r="L30" s="70"/>
      <c r="M30" s="70"/>
      <c r="N30" s="70"/>
      <c r="O30" s="70"/>
    </row>
    <row r="31" spans="1:15" ht="20.25" x14ac:dyDescent="0.25">
      <c r="A31" s="79"/>
      <c r="B31" s="79"/>
      <c r="C31" s="81"/>
      <c r="D31" s="81"/>
      <c r="E31" s="70"/>
      <c r="F31" s="70"/>
      <c r="G31" s="70"/>
      <c r="H31" s="70"/>
      <c r="I31" s="70"/>
      <c r="J31" s="70"/>
      <c r="K31" s="70"/>
      <c r="L31" s="70"/>
      <c r="M31" s="70"/>
      <c r="N31" s="70"/>
      <c r="O31" s="70"/>
    </row>
    <row r="32" spans="1:15" ht="20.25" x14ac:dyDescent="0.25">
      <c r="A32" s="79"/>
      <c r="B32" s="79"/>
      <c r="C32" s="81"/>
      <c r="D32" s="81"/>
      <c r="E32" s="70"/>
      <c r="F32" s="70"/>
      <c r="G32" s="70"/>
      <c r="H32" s="70"/>
      <c r="I32" s="70"/>
      <c r="J32" s="70"/>
      <c r="K32" s="70"/>
      <c r="L32" s="70"/>
      <c r="M32" s="70"/>
      <c r="N32" s="70"/>
      <c r="O32" s="70"/>
    </row>
    <row r="33" spans="1:15" ht="20.25" x14ac:dyDescent="0.25">
      <c r="A33" s="79"/>
      <c r="B33" s="79"/>
      <c r="C33" s="81"/>
      <c r="D33" s="81"/>
      <c r="E33" s="70"/>
      <c r="F33" s="70"/>
      <c r="G33" s="70"/>
      <c r="H33" s="70"/>
      <c r="I33" s="70"/>
      <c r="J33" s="70"/>
      <c r="K33" s="70"/>
      <c r="L33" s="70"/>
      <c r="M33" s="70"/>
      <c r="N33" s="70"/>
      <c r="O33" s="70"/>
    </row>
    <row r="34" spans="1:15" ht="20.25" x14ac:dyDescent="0.25">
      <c r="A34" s="79"/>
      <c r="B34" s="79"/>
      <c r="C34" s="81"/>
      <c r="D34" s="81"/>
      <c r="E34" s="70"/>
      <c r="F34" s="70"/>
      <c r="G34" s="70"/>
      <c r="H34" s="70"/>
      <c r="I34" s="70"/>
      <c r="J34" s="70"/>
      <c r="K34" s="70"/>
      <c r="L34" s="70"/>
      <c r="M34" s="70"/>
      <c r="N34" s="70"/>
      <c r="O34" s="70"/>
    </row>
    <row r="35" spans="1:15" ht="20.25" x14ac:dyDescent="0.25">
      <c r="A35" s="79"/>
      <c r="B35" s="79"/>
      <c r="C35" s="81"/>
      <c r="D35" s="81"/>
      <c r="E35" s="70"/>
      <c r="F35" s="70"/>
      <c r="G35" s="70"/>
      <c r="H35" s="70"/>
      <c r="I35" s="70"/>
      <c r="J35" s="70"/>
      <c r="K35" s="70"/>
      <c r="L35" s="70"/>
      <c r="M35" s="70"/>
      <c r="N35" s="70"/>
      <c r="O35" s="70"/>
    </row>
    <row r="36" spans="1:15" ht="20.25" x14ac:dyDescent="0.25">
      <c r="A36" s="79"/>
      <c r="B36" s="79"/>
      <c r="C36" s="81"/>
      <c r="D36" s="81"/>
      <c r="E36" s="70"/>
      <c r="F36" s="70"/>
      <c r="G36" s="70"/>
      <c r="H36" s="70"/>
      <c r="I36" s="70"/>
      <c r="J36" s="70"/>
      <c r="K36" s="70"/>
      <c r="L36" s="70"/>
      <c r="M36" s="70"/>
      <c r="N36" s="70"/>
      <c r="O36" s="70"/>
    </row>
    <row r="37" spans="1:15" ht="20.25" x14ac:dyDescent="0.25">
      <c r="A37" s="79"/>
      <c r="B37" s="79"/>
      <c r="C37" s="81"/>
      <c r="D37" s="81"/>
      <c r="E37" s="70"/>
      <c r="F37" s="70"/>
      <c r="G37" s="70"/>
      <c r="H37" s="70"/>
      <c r="I37" s="70"/>
      <c r="J37" s="70"/>
      <c r="K37" s="70"/>
      <c r="L37" s="70"/>
      <c r="M37" s="70"/>
      <c r="N37" s="70"/>
      <c r="O37" s="70"/>
    </row>
    <row r="38" spans="1:15" ht="20.25" x14ac:dyDescent="0.25">
      <c r="A38" s="79"/>
      <c r="B38" s="79"/>
      <c r="C38" s="81"/>
      <c r="D38" s="81"/>
      <c r="E38" s="70"/>
      <c r="F38" s="70"/>
      <c r="G38" s="70"/>
      <c r="H38" s="70"/>
      <c r="I38" s="70"/>
      <c r="J38" s="70"/>
      <c r="K38" s="70"/>
      <c r="L38" s="70"/>
      <c r="M38" s="70"/>
      <c r="N38" s="70"/>
      <c r="O38" s="70"/>
    </row>
    <row r="39" spans="1:15" ht="20.25" x14ac:dyDescent="0.25">
      <c r="A39" s="79"/>
      <c r="B39" s="79"/>
      <c r="C39" s="81"/>
      <c r="D39" s="81"/>
      <c r="E39" s="70"/>
      <c r="F39" s="70"/>
      <c r="G39" s="70"/>
      <c r="H39" s="70"/>
      <c r="I39" s="70"/>
      <c r="J39" s="70"/>
      <c r="K39" s="70"/>
      <c r="L39" s="70"/>
      <c r="M39" s="70"/>
      <c r="N39" s="70"/>
      <c r="O39" s="70"/>
    </row>
    <row r="40" spans="1:15" ht="20.25" x14ac:dyDescent="0.25">
      <c r="A40" s="79"/>
      <c r="B40" s="79"/>
      <c r="C40" s="81"/>
      <c r="D40" s="81"/>
      <c r="E40" s="70"/>
      <c r="F40" s="70"/>
      <c r="G40" s="70"/>
      <c r="H40" s="70"/>
      <c r="I40" s="70"/>
      <c r="J40" s="70"/>
      <c r="K40" s="70"/>
      <c r="L40" s="70"/>
      <c r="M40" s="70"/>
      <c r="N40" s="70"/>
      <c r="O40" s="70"/>
    </row>
    <row r="41" spans="1:15" ht="20.25" x14ac:dyDescent="0.25">
      <c r="A41" s="79"/>
      <c r="B41" s="79"/>
      <c r="C41" s="81"/>
      <c r="D41" s="81"/>
      <c r="E41" s="70"/>
      <c r="F41" s="70"/>
      <c r="G41" s="70"/>
      <c r="H41" s="70"/>
      <c r="I41" s="70"/>
      <c r="J41" s="70"/>
      <c r="K41" s="70"/>
      <c r="L41" s="70"/>
      <c r="M41" s="70"/>
      <c r="N41" s="70"/>
      <c r="O41" s="70"/>
    </row>
    <row r="42" spans="1:15" ht="20.25" x14ac:dyDescent="0.25">
      <c r="A42" s="79"/>
      <c r="B42" s="79"/>
      <c r="C42" s="81"/>
      <c r="D42" s="81"/>
      <c r="E42" s="70"/>
      <c r="F42" s="70"/>
      <c r="G42" s="70"/>
      <c r="H42" s="70"/>
      <c r="I42" s="70"/>
      <c r="J42" s="70"/>
      <c r="K42" s="70"/>
      <c r="L42" s="70"/>
      <c r="M42" s="70"/>
      <c r="N42" s="70"/>
      <c r="O42" s="70"/>
    </row>
    <row r="43" spans="1:15" ht="20.25" x14ac:dyDescent="0.25">
      <c r="A43" s="79"/>
      <c r="B43" s="79"/>
      <c r="C43" s="81"/>
      <c r="D43" s="81"/>
      <c r="E43" s="70"/>
      <c r="F43" s="70"/>
      <c r="G43" s="70"/>
      <c r="H43" s="70"/>
      <c r="I43" s="70"/>
      <c r="J43" s="70"/>
      <c r="K43" s="70"/>
      <c r="L43" s="70"/>
      <c r="M43" s="70"/>
      <c r="N43" s="70"/>
      <c r="O43" s="70"/>
    </row>
    <row r="44" spans="1:15" ht="20.25" x14ac:dyDescent="0.25">
      <c r="A44" s="79"/>
      <c r="B44" s="79"/>
      <c r="C44" s="81"/>
      <c r="D44" s="81"/>
      <c r="E44" s="70"/>
      <c r="F44" s="70"/>
      <c r="G44" s="70"/>
      <c r="H44" s="70"/>
      <c r="I44" s="70"/>
      <c r="J44" s="70"/>
      <c r="K44" s="70"/>
      <c r="L44" s="70"/>
      <c r="M44" s="70"/>
      <c r="N44" s="70"/>
      <c r="O44" s="70"/>
    </row>
    <row r="45" spans="1:15" ht="20.25" x14ac:dyDescent="0.25">
      <c r="A45" s="79"/>
      <c r="B45" s="79"/>
      <c r="C45" s="81"/>
      <c r="D45" s="81"/>
      <c r="E45" s="70"/>
      <c r="F45" s="70"/>
      <c r="G45" s="70"/>
      <c r="H45" s="70"/>
      <c r="I45" s="70"/>
      <c r="J45" s="70"/>
      <c r="K45" s="70"/>
      <c r="L45" s="70"/>
      <c r="M45" s="70"/>
      <c r="N45" s="70"/>
      <c r="O45" s="70"/>
    </row>
    <row r="46" spans="1:15" ht="20.25" x14ac:dyDescent="0.25">
      <c r="A46" s="79"/>
      <c r="B46" s="79"/>
      <c r="C46" s="81"/>
      <c r="D46" s="81"/>
      <c r="E46" s="70"/>
      <c r="F46" s="70"/>
      <c r="G46" s="70"/>
      <c r="H46" s="70"/>
      <c r="I46" s="70"/>
      <c r="J46" s="70"/>
      <c r="K46" s="70"/>
      <c r="L46" s="70"/>
      <c r="M46" s="70"/>
      <c r="N46" s="70"/>
      <c r="O46" s="70"/>
    </row>
    <row r="47" spans="1:15" ht="20.25" x14ac:dyDescent="0.25">
      <c r="A47" s="79"/>
      <c r="B47" s="79"/>
      <c r="C47" s="81"/>
      <c r="D47" s="81"/>
      <c r="E47" s="70"/>
      <c r="F47" s="70"/>
      <c r="G47" s="70"/>
      <c r="H47" s="70"/>
      <c r="I47" s="70"/>
      <c r="J47" s="70"/>
      <c r="K47" s="70"/>
      <c r="L47" s="70"/>
      <c r="M47" s="70"/>
      <c r="N47" s="70"/>
      <c r="O47" s="70"/>
    </row>
    <row r="48" spans="1:15" ht="20.25" x14ac:dyDescent="0.25">
      <c r="A48" s="79"/>
      <c r="B48" s="79"/>
      <c r="C48" s="81"/>
      <c r="D48" s="81"/>
      <c r="E48" s="70"/>
      <c r="F48" s="70"/>
      <c r="G48" s="70"/>
      <c r="H48" s="70"/>
      <c r="I48" s="70"/>
      <c r="J48" s="70"/>
      <c r="K48" s="70"/>
      <c r="L48" s="70"/>
      <c r="M48" s="70"/>
      <c r="N48" s="70"/>
      <c r="O48" s="70"/>
    </row>
    <row r="49" spans="1:15" ht="20.25" x14ac:dyDescent="0.25">
      <c r="A49" s="79"/>
      <c r="B49" s="79"/>
      <c r="C49" s="81"/>
      <c r="D49" s="81"/>
      <c r="E49" s="70"/>
      <c r="F49" s="70"/>
      <c r="G49" s="70"/>
      <c r="H49" s="70"/>
      <c r="I49" s="70"/>
      <c r="J49" s="70"/>
      <c r="K49" s="70"/>
      <c r="L49" s="70"/>
      <c r="M49" s="70"/>
      <c r="N49" s="70"/>
      <c r="O49" s="70"/>
    </row>
    <row r="50" spans="1:15" ht="20.25" x14ac:dyDescent="0.25">
      <c r="A50" s="79"/>
      <c r="B50" s="79"/>
      <c r="C50" s="81"/>
      <c r="D50" s="81"/>
      <c r="E50" s="70"/>
      <c r="F50" s="70"/>
      <c r="G50" s="70"/>
      <c r="H50" s="70"/>
      <c r="I50" s="70"/>
      <c r="J50" s="70"/>
      <c r="K50" s="70"/>
      <c r="L50" s="70"/>
      <c r="M50" s="70"/>
      <c r="N50" s="70"/>
      <c r="O50" s="70"/>
    </row>
    <row r="51" spans="1:15" ht="20.25" x14ac:dyDescent="0.25">
      <c r="A51" s="79"/>
      <c r="B51" s="79"/>
      <c r="C51" s="81"/>
      <c r="D51" s="81"/>
      <c r="E51" s="70"/>
      <c r="F51" s="70"/>
      <c r="G51" s="70"/>
      <c r="H51" s="70"/>
      <c r="I51" s="70"/>
      <c r="J51" s="70"/>
      <c r="K51" s="70"/>
      <c r="L51" s="70"/>
      <c r="M51" s="70"/>
      <c r="N51" s="70"/>
      <c r="O51" s="70"/>
    </row>
    <row r="52" spans="1:15" ht="20.25" x14ac:dyDescent="0.25">
      <c r="A52" s="79"/>
      <c r="B52" s="15"/>
      <c r="C52" s="20"/>
      <c r="D52" s="20"/>
    </row>
    <row r="53" spans="1:15" ht="20.25" x14ac:dyDescent="0.25">
      <c r="A53" s="79"/>
      <c r="B53" s="15"/>
      <c r="C53" s="20"/>
      <c r="D53" s="20"/>
    </row>
    <row r="54" spans="1:15" ht="20.25" x14ac:dyDescent="0.25">
      <c r="A54" s="79"/>
      <c r="B54" s="15"/>
      <c r="C54" s="20"/>
      <c r="D54" s="20"/>
    </row>
    <row r="55" spans="1:15" ht="20.25" x14ac:dyDescent="0.25">
      <c r="A55" s="79"/>
      <c r="B55" s="15"/>
      <c r="C55" s="20"/>
      <c r="D55" s="20"/>
    </row>
    <row r="56" spans="1:15" ht="20.25" x14ac:dyDescent="0.25">
      <c r="A56" s="79"/>
      <c r="B56" s="15"/>
      <c r="C56" s="20"/>
      <c r="D56" s="20"/>
    </row>
    <row r="57" spans="1:15" ht="20.25" x14ac:dyDescent="0.25">
      <c r="A57" s="79"/>
      <c r="B57" s="15"/>
      <c r="C57" s="20"/>
      <c r="D57" s="20"/>
    </row>
    <row r="58" spans="1:15" ht="20.25" x14ac:dyDescent="0.25">
      <c r="A58" s="79"/>
      <c r="B58" s="15"/>
      <c r="C58" s="20"/>
      <c r="D58" s="20"/>
    </row>
    <row r="59" spans="1:15" ht="20.25" x14ac:dyDescent="0.25">
      <c r="A59" s="79"/>
      <c r="B59" s="15"/>
      <c r="C59" s="20"/>
      <c r="D59" s="20"/>
    </row>
    <row r="60" spans="1:15" ht="20.25" x14ac:dyDescent="0.25">
      <c r="A60" s="79"/>
      <c r="B60" s="15"/>
      <c r="C60" s="20"/>
      <c r="D60" s="20"/>
    </row>
    <row r="61" spans="1:15" ht="20.25" x14ac:dyDescent="0.25">
      <c r="A61" s="79"/>
      <c r="B61" s="15"/>
      <c r="C61" s="20"/>
      <c r="D61" s="20"/>
    </row>
    <row r="62" spans="1:15" ht="20.25" x14ac:dyDescent="0.25">
      <c r="A62" s="79"/>
      <c r="B62" s="15"/>
      <c r="C62" s="20"/>
      <c r="D62" s="20"/>
    </row>
    <row r="63" spans="1:15" ht="20.25" x14ac:dyDescent="0.25">
      <c r="A63" s="79"/>
      <c r="B63" s="15"/>
      <c r="C63" s="20"/>
      <c r="D63" s="20"/>
    </row>
    <row r="64" spans="1:15" ht="20.25" x14ac:dyDescent="0.25">
      <c r="A64" s="79"/>
      <c r="B64" s="15"/>
      <c r="C64" s="20"/>
      <c r="D64" s="20"/>
    </row>
    <row r="65" spans="1:4" ht="20.25" x14ac:dyDescent="0.25">
      <c r="A65" s="79"/>
      <c r="B65" s="15"/>
      <c r="C65" s="20"/>
      <c r="D65" s="20"/>
    </row>
    <row r="66" spans="1:4" ht="20.25" x14ac:dyDescent="0.25">
      <c r="A66" s="79"/>
      <c r="B66" s="15"/>
      <c r="C66" s="20"/>
      <c r="D66" s="20"/>
    </row>
    <row r="67" spans="1:4" ht="20.25" x14ac:dyDescent="0.25">
      <c r="A67" s="79"/>
      <c r="B67" s="15"/>
      <c r="C67" s="20"/>
      <c r="D67" s="20"/>
    </row>
    <row r="68" spans="1:4" ht="20.25" x14ac:dyDescent="0.25">
      <c r="A68" s="79"/>
      <c r="B68" s="15"/>
      <c r="C68" s="20"/>
      <c r="D68" s="20"/>
    </row>
    <row r="69" spans="1:4" ht="20.25" x14ac:dyDescent="0.25">
      <c r="A69" s="79"/>
      <c r="B69" s="15"/>
      <c r="C69" s="20"/>
      <c r="D69" s="20"/>
    </row>
    <row r="70" spans="1:4" ht="20.25" x14ac:dyDescent="0.25">
      <c r="A70" s="79"/>
      <c r="B70" s="15"/>
      <c r="C70" s="20"/>
      <c r="D70" s="20"/>
    </row>
    <row r="71" spans="1:4" ht="20.25" x14ac:dyDescent="0.25">
      <c r="A71" s="79"/>
      <c r="B71" s="15"/>
      <c r="C71" s="20"/>
      <c r="D71" s="20"/>
    </row>
    <row r="72" spans="1:4" ht="20.25" x14ac:dyDescent="0.25">
      <c r="A72" s="79"/>
      <c r="B72" s="15"/>
      <c r="C72" s="20"/>
      <c r="D72" s="20"/>
    </row>
    <row r="73" spans="1:4" ht="20.25" x14ac:dyDescent="0.25">
      <c r="A73" s="79"/>
      <c r="B73" s="15"/>
      <c r="C73" s="20"/>
      <c r="D73" s="20"/>
    </row>
    <row r="74" spans="1:4" ht="20.25" x14ac:dyDescent="0.25">
      <c r="A74" s="79"/>
      <c r="B74" s="15"/>
      <c r="C74" s="20"/>
      <c r="D74" s="20"/>
    </row>
    <row r="75" spans="1:4" ht="20.25" x14ac:dyDescent="0.25">
      <c r="A75" s="79"/>
      <c r="B75" s="15"/>
      <c r="C75" s="20"/>
      <c r="D75" s="20"/>
    </row>
    <row r="76" spans="1:4" ht="20.25" x14ac:dyDescent="0.25">
      <c r="A76" s="79"/>
      <c r="B76" s="15"/>
      <c r="C76" s="20"/>
      <c r="D76" s="20"/>
    </row>
    <row r="77" spans="1:4" ht="20.25" x14ac:dyDescent="0.25">
      <c r="A77" s="79"/>
      <c r="B77" s="15"/>
      <c r="C77" s="20"/>
      <c r="D77" s="20"/>
    </row>
    <row r="78" spans="1:4" ht="20.25" x14ac:dyDescent="0.25">
      <c r="A78" s="79"/>
      <c r="B78" s="15"/>
      <c r="C78" s="20"/>
      <c r="D78" s="20"/>
    </row>
    <row r="79" spans="1:4" ht="20.25" x14ac:dyDescent="0.25">
      <c r="A79" s="79"/>
      <c r="B79" s="15"/>
      <c r="C79" s="20"/>
      <c r="D79" s="20"/>
    </row>
    <row r="80" spans="1:4" ht="20.25" x14ac:dyDescent="0.25">
      <c r="A80" s="79"/>
      <c r="B80" s="15"/>
      <c r="C80" s="20"/>
      <c r="D80" s="20"/>
    </row>
    <row r="81" spans="1:4" ht="20.25" x14ac:dyDescent="0.25">
      <c r="A81" s="79"/>
      <c r="B81" s="15"/>
      <c r="C81" s="20"/>
      <c r="D81" s="20"/>
    </row>
    <row r="82" spans="1:4" ht="20.25" x14ac:dyDescent="0.25">
      <c r="A82" s="79"/>
      <c r="B82" s="15"/>
      <c r="C82" s="20"/>
      <c r="D82" s="20"/>
    </row>
    <row r="83" spans="1:4" ht="20.25" x14ac:dyDescent="0.25">
      <c r="A83" s="79"/>
      <c r="B83" s="15"/>
      <c r="C83" s="20"/>
      <c r="D83" s="20"/>
    </row>
    <row r="84" spans="1:4" ht="20.25" x14ac:dyDescent="0.25">
      <c r="A84" s="79"/>
      <c r="B84" s="15"/>
      <c r="C84" s="20"/>
      <c r="D84" s="20"/>
    </row>
    <row r="85" spans="1:4" ht="20.25" x14ac:dyDescent="0.25">
      <c r="A85" s="79"/>
      <c r="B85" s="15"/>
      <c r="C85" s="20"/>
      <c r="D85" s="20"/>
    </row>
    <row r="86" spans="1:4" ht="20.25" x14ac:dyDescent="0.25">
      <c r="A86" s="79"/>
      <c r="B86" s="15"/>
      <c r="C86" s="20"/>
      <c r="D86" s="20"/>
    </row>
    <row r="87" spans="1:4" ht="20.25" x14ac:dyDescent="0.25">
      <c r="A87" s="79"/>
      <c r="B87" s="15"/>
      <c r="C87" s="20"/>
      <c r="D87" s="20"/>
    </row>
    <row r="88" spans="1:4" ht="20.25" x14ac:dyDescent="0.25">
      <c r="A88" s="79"/>
      <c r="B88" s="15"/>
      <c r="C88" s="20"/>
      <c r="D88" s="20"/>
    </row>
    <row r="89" spans="1:4" ht="20.25" x14ac:dyDescent="0.25">
      <c r="A89" s="79"/>
      <c r="B89" s="15"/>
      <c r="C89" s="20"/>
      <c r="D89" s="20"/>
    </row>
    <row r="90" spans="1:4" ht="20.25" x14ac:dyDescent="0.25">
      <c r="A90" s="79"/>
      <c r="B90" s="15"/>
      <c r="C90" s="20"/>
      <c r="D90" s="20"/>
    </row>
    <row r="91" spans="1:4" ht="20.25" x14ac:dyDescent="0.25">
      <c r="A91" s="79"/>
      <c r="B91" s="15"/>
      <c r="C91" s="20"/>
      <c r="D91" s="20"/>
    </row>
    <row r="92" spans="1:4" ht="20.25" x14ac:dyDescent="0.25">
      <c r="A92" s="79"/>
      <c r="B92" s="15"/>
      <c r="C92" s="20"/>
      <c r="D92" s="20"/>
    </row>
    <row r="93" spans="1:4" ht="20.25" x14ac:dyDescent="0.25">
      <c r="A93" s="79"/>
      <c r="B93" s="15"/>
      <c r="C93" s="20"/>
      <c r="D93" s="20"/>
    </row>
    <row r="94" spans="1:4" ht="20.25" x14ac:dyDescent="0.25">
      <c r="A94" s="79"/>
      <c r="B94" s="15"/>
      <c r="C94" s="20"/>
      <c r="D94" s="20"/>
    </row>
    <row r="95" spans="1:4" ht="20.25" x14ac:dyDescent="0.25">
      <c r="A95" s="79"/>
      <c r="B95" s="15"/>
      <c r="C95" s="20"/>
      <c r="D95" s="20"/>
    </row>
    <row r="96" spans="1:4" ht="20.25" x14ac:dyDescent="0.25">
      <c r="A96" s="79"/>
      <c r="B96" s="15"/>
      <c r="C96" s="20"/>
      <c r="D96" s="20"/>
    </row>
    <row r="97" spans="1:4" ht="20.25" x14ac:dyDescent="0.25">
      <c r="A97" s="79"/>
      <c r="B97" s="15"/>
      <c r="C97" s="20"/>
      <c r="D97" s="20"/>
    </row>
    <row r="98" spans="1:4" ht="20.25" x14ac:dyDescent="0.25">
      <c r="A98" s="79"/>
      <c r="B98" s="15"/>
      <c r="C98" s="20"/>
      <c r="D98" s="20"/>
    </row>
    <row r="99" spans="1:4" ht="20.25" x14ac:dyDescent="0.25">
      <c r="A99" s="79"/>
      <c r="B99" s="15"/>
      <c r="C99" s="20"/>
      <c r="D99" s="20"/>
    </row>
    <row r="100" spans="1:4" ht="20.25" x14ac:dyDescent="0.25">
      <c r="A100" s="79"/>
      <c r="B100" s="15"/>
      <c r="C100" s="20"/>
      <c r="D100" s="20"/>
    </row>
    <row r="101" spans="1:4" ht="20.25" x14ac:dyDescent="0.25">
      <c r="A101" s="79"/>
      <c r="B101" s="15"/>
      <c r="C101" s="20"/>
      <c r="D101" s="20"/>
    </row>
    <row r="102" spans="1:4" ht="20.25" x14ac:dyDescent="0.25">
      <c r="A102" s="79"/>
      <c r="B102" s="15"/>
      <c r="C102" s="20"/>
      <c r="D102" s="20"/>
    </row>
    <row r="103" spans="1:4" ht="20.25" x14ac:dyDescent="0.25">
      <c r="A103" s="79"/>
      <c r="B103" s="15"/>
      <c r="C103" s="20"/>
      <c r="D103" s="20"/>
    </row>
    <row r="104" spans="1:4" ht="20.25" x14ac:dyDescent="0.25">
      <c r="A104" s="79"/>
      <c r="B104" s="15"/>
      <c r="C104" s="20"/>
      <c r="D104" s="20"/>
    </row>
    <row r="105" spans="1:4" ht="20.25" x14ac:dyDescent="0.25">
      <c r="A105" s="79"/>
      <c r="B105" s="15"/>
      <c r="C105" s="20"/>
      <c r="D105" s="20"/>
    </row>
    <row r="106" spans="1:4" ht="20.25" x14ac:dyDescent="0.25">
      <c r="A106" s="79"/>
      <c r="B106" s="15"/>
      <c r="C106" s="20"/>
      <c r="D106" s="20"/>
    </row>
    <row r="107" spans="1:4" ht="20.25" x14ac:dyDescent="0.25">
      <c r="A107" s="79"/>
      <c r="B107" s="15"/>
      <c r="C107" s="20"/>
      <c r="D107" s="20"/>
    </row>
    <row r="108" spans="1:4" ht="20.25" x14ac:dyDescent="0.25">
      <c r="A108" s="79"/>
      <c r="B108" s="15"/>
      <c r="C108" s="20"/>
      <c r="D108" s="20"/>
    </row>
    <row r="109" spans="1:4" ht="20.25" x14ac:dyDescent="0.25">
      <c r="A109" s="79"/>
      <c r="B109" s="15"/>
      <c r="C109" s="20"/>
      <c r="D109" s="20"/>
    </row>
    <row r="110" spans="1:4" ht="20.25" x14ac:dyDescent="0.25">
      <c r="A110" s="79"/>
      <c r="B110" s="15"/>
      <c r="C110" s="20"/>
      <c r="D110" s="20"/>
    </row>
    <row r="111" spans="1:4" ht="20.25" x14ac:dyDescent="0.25">
      <c r="A111" s="79"/>
      <c r="B111" s="15"/>
      <c r="C111" s="20"/>
      <c r="D111" s="20"/>
    </row>
    <row r="112" spans="1:4" ht="20.25" x14ac:dyDescent="0.25">
      <c r="A112" s="79"/>
      <c r="B112" s="15"/>
      <c r="C112" s="20"/>
      <c r="D112" s="20"/>
    </row>
    <row r="113" spans="1:4" ht="20.25" x14ac:dyDescent="0.25">
      <c r="A113" s="79"/>
      <c r="B113" s="15"/>
      <c r="C113" s="20"/>
      <c r="D113" s="20"/>
    </row>
    <row r="114" spans="1:4" ht="20.25" x14ac:dyDescent="0.25">
      <c r="A114" s="79"/>
      <c r="B114" s="15"/>
      <c r="C114" s="20"/>
      <c r="D114" s="20"/>
    </row>
    <row r="115" spans="1:4" ht="20.25" x14ac:dyDescent="0.25">
      <c r="A115" s="79"/>
      <c r="B115" s="15"/>
      <c r="C115" s="20"/>
      <c r="D115" s="20"/>
    </row>
    <row r="116" spans="1:4" ht="20.25" x14ac:dyDescent="0.25">
      <c r="A116" s="79"/>
      <c r="B116" s="15"/>
      <c r="C116" s="20"/>
      <c r="D116" s="20"/>
    </row>
    <row r="117" spans="1:4" ht="20.25" x14ac:dyDescent="0.25">
      <c r="A117" s="79"/>
      <c r="B117" s="15"/>
      <c r="C117" s="20"/>
      <c r="D117" s="20"/>
    </row>
    <row r="118" spans="1:4" ht="20.25" x14ac:dyDescent="0.25">
      <c r="A118" s="79"/>
      <c r="B118" s="15"/>
      <c r="C118" s="20"/>
      <c r="D118" s="20"/>
    </row>
    <row r="119" spans="1:4" ht="20.25" x14ac:dyDescent="0.25">
      <c r="A119" s="79"/>
      <c r="B119" s="15"/>
      <c r="C119" s="20"/>
      <c r="D119" s="20"/>
    </row>
    <row r="120" spans="1:4" ht="20.25" x14ac:dyDescent="0.25">
      <c r="A120" s="79"/>
      <c r="B120" s="15"/>
      <c r="C120" s="20"/>
      <c r="D120" s="20"/>
    </row>
    <row r="121" spans="1:4" ht="20.25" x14ac:dyDescent="0.25">
      <c r="A121" s="79"/>
      <c r="B121" s="15"/>
      <c r="C121" s="20"/>
      <c r="D121" s="20"/>
    </row>
    <row r="122" spans="1:4" ht="20.25" x14ac:dyDescent="0.25">
      <c r="A122" s="79"/>
      <c r="B122" s="15"/>
      <c r="C122" s="20"/>
      <c r="D122" s="20"/>
    </row>
    <row r="123" spans="1:4" ht="20.25" x14ac:dyDescent="0.25">
      <c r="A123" s="79"/>
      <c r="B123" s="15"/>
      <c r="C123" s="20"/>
      <c r="D123" s="20"/>
    </row>
    <row r="124" spans="1:4" ht="20.25" x14ac:dyDescent="0.25">
      <c r="A124" s="79"/>
      <c r="B124" s="15"/>
      <c r="C124" s="20"/>
      <c r="D124" s="20"/>
    </row>
    <row r="125" spans="1:4" ht="20.25" x14ac:dyDescent="0.25">
      <c r="A125" s="79"/>
      <c r="B125" s="15"/>
      <c r="C125" s="20"/>
      <c r="D125" s="20"/>
    </row>
    <row r="126" spans="1:4" ht="20.25" x14ac:dyDescent="0.25">
      <c r="A126" s="79"/>
      <c r="B126" s="15"/>
      <c r="C126" s="20"/>
      <c r="D126" s="20"/>
    </row>
    <row r="127" spans="1:4" ht="20.25" x14ac:dyDescent="0.25">
      <c r="A127" s="79"/>
      <c r="B127" s="15"/>
      <c r="C127" s="20"/>
      <c r="D127" s="20"/>
    </row>
    <row r="128" spans="1:4" ht="20.25" x14ac:dyDescent="0.25">
      <c r="A128" s="79"/>
      <c r="B128" s="15"/>
      <c r="C128" s="20"/>
      <c r="D128" s="20"/>
    </row>
    <row r="129" spans="1:4" ht="20.25" x14ac:dyDescent="0.25">
      <c r="A129" s="79"/>
      <c r="B129" s="15"/>
      <c r="C129" s="20"/>
      <c r="D129" s="20"/>
    </row>
    <row r="130" spans="1:4" ht="20.25" x14ac:dyDescent="0.25">
      <c r="A130" s="79"/>
      <c r="B130" s="15"/>
      <c r="C130" s="20"/>
      <c r="D130" s="20"/>
    </row>
    <row r="131" spans="1:4" ht="20.25" x14ac:dyDescent="0.25">
      <c r="A131" s="79"/>
      <c r="B131" s="15"/>
      <c r="C131" s="20"/>
      <c r="D131" s="20"/>
    </row>
    <row r="132" spans="1:4" ht="20.25" x14ac:dyDescent="0.25">
      <c r="A132" s="79"/>
      <c r="B132" s="15"/>
      <c r="C132" s="20"/>
      <c r="D132" s="20"/>
    </row>
    <row r="133" spans="1:4" ht="20.25" x14ac:dyDescent="0.25">
      <c r="A133" s="79"/>
      <c r="B133" s="15"/>
      <c r="C133" s="20"/>
      <c r="D133" s="20"/>
    </row>
    <row r="134" spans="1:4" ht="20.25" x14ac:dyDescent="0.25">
      <c r="A134" s="79"/>
      <c r="B134" s="15"/>
      <c r="C134" s="20"/>
      <c r="D134" s="20"/>
    </row>
    <row r="135" spans="1:4" ht="20.25" x14ac:dyDescent="0.25">
      <c r="A135" s="79"/>
      <c r="B135" s="15"/>
      <c r="C135" s="20"/>
      <c r="D135" s="20"/>
    </row>
    <row r="136" spans="1:4" ht="20.25" x14ac:dyDescent="0.25">
      <c r="A136" s="79"/>
      <c r="B136" s="15"/>
      <c r="C136" s="20"/>
      <c r="D136" s="20"/>
    </row>
    <row r="137" spans="1:4" ht="20.25" x14ac:dyDescent="0.25">
      <c r="A137" s="79"/>
      <c r="B137" s="15"/>
      <c r="C137" s="20"/>
      <c r="D137" s="20"/>
    </row>
    <row r="138" spans="1:4" ht="20.25" x14ac:dyDescent="0.25">
      <c r="A138" s="79"/>
      <c r="B138" s="15"/>
      <c r="C138" s="20"/>
      <c r="D138" s="20"/>
    </row>
    <row r="139" spans="1:4" ht="20.25" x14ac:dyDescent="0.25">
      <c r="A139" s="79"/>
      <c r="B139" s="15"/>
      <c r="C139" s="20"/>
      <c r="D139" s="20"/>
    </row>
    <row r="140" spans="1:4" ht="20.25" x14ac:dyDescent="0.25">
      <c r="A140" s="79"/>
      <c r="B140" s="15"/>
      <c r="C140" s="20"/>
      <c r="D140" s="20"/>
    </row>
    <row r="141" spans="1:4" ht="20.25" x14ac:dyDescent="0.25">
      <c r="A141" s="79"/>
      <c r="B141" s="15"/>
      <c r="C141" s="20"/>
      <c r="D141" s="20"/>
    </row>
    <row r="142" spans="1:4" ht="20.25" x14ac:dyDescent="0.25">
      <c r="A142" s="79"/>
      <c r="B142" s="15"/>
      <c r="C142" s="20"/>
      <c r="D142" s="20"/>
    </row>
    <row r="143" spans="1:4" ht="20.25" x14ac:dyDescent="0.25">
      <c r="A143" s="79"/>
      <c r="B143" s="15"/>
      <c r="C143" s="20"/>
      <c r="D143" s="20"/>
    </row>
    <row r="144" spans="1:4" ht="20.25" x14ac:dyDescent="0.25">
      <c r="A144" s="79"/>
      <c r="B144" s="15"/>
      <c r="C144" s="20"/>
      <c r="D144" s="20"/>
    </row>
    <row r="145" spans="1:4" ht="20.25" x14ac:dyDescent="0.25">
      <c r="A145" s="79"/>
      <c r="B145" s="15"/>
      <c r="C145" s="20"/>
      <c r="D145" s="20"/>
    </row>
    <row r="146" spans="1:4" ht="20.25" x14ac:dyDescent="0.25">
      <c r="A146" s="79"/>
      <c r="B146" s="15"/>
      <c r="C146" s="20"/>
      <c r="D146" s="20"/>
    </row>
    <row r="147" spans="1:4" ht="20.25" x14ac:dyDescent="0.25">
      <c r="A147" s="79"/>
      <c r="B147" s="15"/>
      <c r="C147" s="20"/>
      <c r="D147" s="20"/>
    </row>
    <row r="148" spans="1:4" ht="20.25" x14ac:dyDescent="0.25">
      <c r="A148" s="79"/>
      <c r="B148" s="15"/>
      <c r="C148" s="20"/>
      <c r="D148" s="20"/>
    </row>
    <row r="149" spans="1:4" ht="20.25" x14ac:dyDescent="0.25">
      <c r="A149" s="79"/>
      <c r="B149" s="15"/>
      <c r="C149" s="20"/>
      <c r="D149" s="20"/>
    </row>
    <row r="150" spans="1:4" ht="20.25" x14ac:dyDescent="0.25">
      <c r="A150" s="79"/>
      <c r="B150" s="15"/>
      <c r="C150" s="20"/>
      <c r="D150" s="20"/>
    </row>
    <row r="151" spans="1:4" ht="20.25" x14ac:dyDescent="0.25">
      <c r="A151" s="79"/>
      <c r="B151" s="15"/>
      <c r="C151" s="20"/>
      <c r="D151" s="20"/>
    </row>
    <row r="152" spans="1:4" ht="20.25" x14ac:dyDescent="0.25">
      <c r="A152" s="79"/>
      <c r="B152" s="15"/>
      <c r="C152" s="20"/>
      <c r="D152" s="20"/>
    </row>
    <row r="153" spans="1:4" ht="20.25" x14ac:dyDescent="0.25">
      <c r="A153" s="79"/>
      <c r="B153" s="15"/>
      <c r="C153" s="20"/>
      <c r="D153" s="20"/>
    </row>
    <row r="154" spans="1:4" ht="20.25" x14ac:dyDescent="0.25">
      <c r="A154" s="79"/>
      <c r="B154" s="15"/>
      <c r="C154" s="20"/>
      <c r="D154" s="20"/>
    </row>
    <row r="155" spans="1:4" ht="20.25" x14ac:dyDescent="0.25">
      <c r="A155" s="79"/>
      <c r="B155" s="15"/>
      <c r="C155" s="20"/>
      <c r="D155" s="20"/>
    </row>
    <row r="156" spans="1:4" ht="20.25" x14ac:dyDescent="0.25">
      <c r="A156" s="79"/>
      <c r="B156" s="15"/>
      <c r="C156" s="20"/>
      <c r="D156" s="20"/>
    </row>
    <row r="157" spans="1:4" ht="20.25" x14ac:dyDescent="0.25">
      <c r="A157" s="79"/>
      <c r="B157" s="15"/>
      <c r="C157" s="20"/>
      <c r="D157" s="20"/>
    </row>
    <row r="158" spans="1:4" ht="20.25" x14ac:dyDescent="0.25">
      <c r="A158" s="79"/>
      <c r="B158" s="15"/>
      <c r="C158" s="20"/>
      <c r="D158" s="20"/>
    </row>
    <row r="159" spans="1:4" ht="20.25" x14ac:dyDescent="0.25">
      <c r="A159" s="79"/>
      <c r="B159" s="15"/>
      <c r="C159" s="20"/>
      <c r="D159" s="20"/>
    </row>
    <row r="160" spans="1:4" ht="20.25" x14ac:dyDescent="0.25">
      <c r="A160" s="79"/>
      <c r="B160" s="15"/>
      <c r="C160" s="20"/>
      <c r="D160" s="20"/>
    </row>
    <row r="161" spans="1:4" ht="20.25" x14ac:dyDescent="0.25">
      <c r="A161" s="79"/>
      <c r="B161" s="15"/>
      <c r="C161" s="20"/>
      <c r="D161" s="20"/>
    </row>
    <row r="162" spans="1:4" ht="20.25" x14ac:dyDescent="0.25">
      <c r="A162" s="79"/>
      <c r="B162" s="15"/>
      <c r="C162" s="20"/>
      <c r="D162" s="20"/>
    </row>
    <row r="163" spans="1:4" ht="20.25" x14ac:dyDescent="0.25">
      <c r="A163" s="79"/>
      <c r="B163" s="15"/>
      <c r="C163" s="20"/>
      <c r="D163" s="20"/>
    </row>
    <row r="164" spans="1:4" ht="20.25" x14ac:dyDescent="0.25">
      <c r="A164" s="79"/>
      <c r="B164" s="15"/>
      <c r="C164" s="20"/>
      <c r="D164" s="20"/>
    </row>
    <row r="165" spans="1:4" ht="20.25" x14ac:dyDescent="0.25">
      <c r="A165" s="79"/>
      <c r="B165" s="15"/>
      <c r="C165" s="20"/>
      <c r="D165" s="20"/>
    </row>
    <row r="166" spans="1:4" ht="20.25" x14ac:dyDescent="0.25">
      <c r="A166" s="79"/>
      <c r="B166" s="15"/>
      <c r="C166" s="20"/>
      <c r="D166" s="20"/>
    </row>
    <row r="167" spans="1:4" ht="20.25" x14ac:dyDescent="0.25">
      <c r="A167" s="79"/>
      <c r="B167" s="15"/>
      <c r="C167" s="20"/>
      <c r="D167" s="20"/>
    </row>
    <row r="168" spans="1:4" ht="20.25" x14ac:dyDescent="0.25">
      <c r="A168" s="79"/>
      <c r="B168" s="15"/>
      <c r="C168" s="20"/>
      <c r="D168" s="20"/>
    </row>
    <row r="169" spans="1:4" ht="20.25" x14ac:dyDescent="0.25">
      <c r="A169" s="79"/>
      <c r="B169" s="15"/>
      <c r="C169" s="20"/>
      <c r="D169" s="20"/>
    </row>
    <row r="170" spans="1:4" ht="20.25" x14ac:dyDescent="0.25">
      <c r="A170" s="79"/>
      <c r="B170" s="15"/>
      <c r="C170" s="20"/>
      <c r="D170" s="20"/>
    </row>
    <row r="171" spans="1:4" ht="20.25" x14ac:dyDescent="0.25">
      <c r="A171" s="79"/>
      <c r="B171" s="15"/>
      <c r="C171" s="20"/>
      <c r="D171" s="20"/>
    </row>
    <row r="172" spans="1:4" ht="20.25" x14ac:dyDescent="0.25">
      <c r="A172" s="79"/>
      <c r="B172" s="15"/>
      <c r="C172" s="20"/>
      <c r="D172" s="20"/>
    </row>
    <row r="173" spans="1:4" ht="20.25" x14ac:dyDescent="0.25">
      <c r="A173" s="79"/>
      <c r="B173" s="15"/>
      <c r="C173" s="20"/>
      <c r="D173" s="20"/>
    </row>
    <row r="174" spans="1:4" ht="20.25" x14ac:dyDescent="0.25">
      <c r="A174" s="79"/>
      <c r="B174" s="15"/>
      <c r="C174" s="20"/>
      <c r="D174" s="20"/>
    </row>
    <row r="175" spans="1:4" ht="20.25" x14ac:dyDescent="0.25">
      <c r="A175" s="79"/>
      <c r="B175" s="15"/>
      <c r="C175" s="20"/>
      <c r="D175" s="20"/>
    </row>
    <row r="176" spans="1:4" ht="20.25" x14ac:dyDescent="0.25">
      <c r="A176" s="79"/>
      <c r="B176" s="15"/>
      <c r="C176" s="20"/>
      <c r="D176" s="20"/>
    </row>
    <row r="177" spans="1:4" ht="20.25" x14ac:dyDescent="0.25">
      <c r="A177" s="79"/>
      <c r="B177" s="15"/>
      <c r="C177" s="20"/>
      <c r="D177" s="20"/>
    </row>
    <row r="178" spans="1:4" ht="20.25" x14ac:dyDescent="0.25">
      <c r="A178" s="79"/>
      <c r="B178" s="15"/>
      <c r="C178" s="20"/>
      <c r="D178" s="20"/>
    </row>
    <row r="179" spans="1:4" ht="20.25" x14ac:dyDescent="0.25">
      <c r="A179" s="79"/>
      <c r="B179" s="15"/>
      <c r="C179" s="20"/>
      <c r="D179" s="20"/>
    </row>
    <row r="180" spans="1:4" ht="20.25" x14ac:dyDescent="0.25">
      <c r="A180" s="79"/>
      <c r="B180" s="15"/>
      <c r="C180" s="20"/>
      <c r="D180" s="20"/>
    </row>
    <row r="181" spans="1:4" ht="20.25" x14ac:dyDescent="0.25">
      <c r="A181" s="79"/>
      <c r="B181" s="15"/>
      <c r="C181" s="20"/>
      <c r="D181" s="20"/>
    </row>
    <row r="182" spans="1:4" ht="20.25" x14ac:dyDescent="0.25">
      <c r="A182" s="79"/>
      <c r="B182" s="15"/>
      <c r="C182" s="20"/>
      <c r="D182" s="20"/>
    </row>
    <row r="183" spans="1:4" ht="20.25" x14ac:dyDescent="0.25">
      <c r="A183" s="79"/>
      <c r="B183" s="15"/>
      <c r="C183" s="20"/>
      <c r="D183" s="20"/>
    </row>
    <row r="184" spans="1:4" ht="20.25" x14ac:dyDescent="0.25">
      <c r="A184" s="79"/>
      <c r="B184" s="15"/>
      <c r="C184" s="20"/>
      <c r="D184" s="20"/>
    </row>
    <row r="185" spans="1:4" ht="20.25" x14ac:dyDescent="0.25">
      <c r="A185" s="79"/>
      <c r="B185" s="15"/>
      <c r="C185" s="20"/>
      <c r="D185" s="20"/>
    </row>
    <row r="186" spans="1:4" ht="20.25" x14ac:dyDescent="0.25">
      <c r="A186" s="79"/>
      <c r="B186" s="15"/>
      <c r="C186" s="20"/>
      <c r="D186" s="20"/>
    </row>
    <row r="187" spans="1:4" ht="20.25" x14ac:dyDescent="0.25">
      <c r="A187" s="79"/>
      <c r="B187" s="15"/>
      <c r="C187" s="20"/>
      <c r="D187" s="20"/>
    </row>
    <row r="188" spans="1:4" ht="20.25" x14ac:dyDescent="0.25">
      <c r="A188" s="79"/>
      <c r="B188" s="15"/>
      <c r="C188" s="20"/>
      <c r="D188" s="20"/>
    </row>
    <row r="189" spans="1:4" ht="20.25" x14ac:dyDescent="0.25">
      <c r="A189" s="79"/>
      <c r="B189" s="15"/>
      <c r="C189" s="20"/>
      <c r="D189" s="20"/>
    </row>
    <row r="190" spans="1:4" ht="20.25" x14ac:dyDescent="0.25">
      <c r="A190" s="79"/>
      <c r="B190" s="15"/>
      <c r="C190" s="20"/>
      <c r="D190" s="20"/>
    </row>
    <row r="191" spans="1:4" ht="20.25" x14ac:dyDescent="0.25">
      <c r="A191" s="79"/>
      <c r="B191" s="15"/>
      <c r="C191" s="20"/>
      <c r="D191" s="20"/>
    </row>
    <row r="192" spans="1:4" ht="20.25" x14ac:dyDescent="0.25">
      <c r="A192" s="79"/>
      <c r="B192" s="15"/>
      <c r="C192" s="20"/>
      <c r="D192" s="20"/>
    </row>
    <row r="193" spans="1:4" ht="20.25" x14ac:dyDescent="0.25">
      <c r="A193" s="79"/>
      <c r="B193" s="15"/>
      <c r="C193" s="20"/>
      <c r="D193" s="20"/>
    </row>
    <row r="194" spans="1:4" ht="20.25" x14ac:dyDescent="0.25">
      <c r="A194" s="79"/>
      <c r="B194" s="15"/>
      <c r="C194" s="20"/>
      <c r="D194" s="20"/>
    </row>
    <row r="195" spans="1:4" ht="20.25" x14ac:dyDescent="0.25">
      <c r="A195" s="79"/>
      <c r="B195" s="15"/>
      <c r="C195" s="20"/>
      <c r="D195" s="20"/>
    </row>
    <row r="196" spans="1:4" ht="20.25" x14ac:dyDescent="0.25">
      <c r="A196" s="79"/>
      <c r="B196" s="15"/>
      <c r="C196" s="20"/>
      <c r="D196" s="20"/>
    </row>
    <row r="197" spans="1:4" ht="20.25" x14ac:dyDescent="0.25">
      <c r="A197" s="79"/>
      <c r="B197" s="15"/>
      <c r="C197" s="20"/>
      <c r="D197" s="20"/>
    </row>
    <row r="198" spans="1:4" ht="20.25" x14ac:dyDescent="0.25">
      <c r="A198" s="79"/>
      <c r="B198" s="15"/>
      <c r="C198" s="20"/>
      <c r="D198" s="20"/>
    </row>
    <row r="199" spans="1:4" ht="20.25" x14ac:dyDescent="0.25">
      <c r="A199" s="79"/>
      <c r="B199" s="15"/>
      <c r="C199" s="20"/>
      <c r="D199" s="20"/>
    </row>
    <row r="200" spans="1:4" ht="20.25" x14ac:dyDescent="0.25">
      <c r="A200" s="79"/>
      <c r="B200" s="15"/>
      <c r="C200" s="20"/>
      <c r="D200" s="20"/>
    </row>
    <row r="201" spans="1:4" ht="20.25" x14ac:dyDescent="0.25">
      <c r="A201" s="79"/>
      <c r="B201" s="15"/>
      <c r="C201" s="20"/>
      <c r="D201" s="20"/>
    </row>
    <row r="202" spans="1:4" ht="20.25" x14ac:dyDescent="0.25">
      <c r="A202" s="79"/>
      <c r="B202" s="15"/>
      <c r="C202" s="20"/>
      <c r="D202" s="20"/>
    </row>
    <row r="203" spans="1:4" ht="20.25" x14ac:dyDescent="0.25">
      <c r="A203" s="79"/>
      <c r="B203" s="15"/>
      <c r="C203" s="20"/>
      <c r="D203" s="20"/>
    </row>
    <row r="204" spans="1:4" ht="20.25" x14ac:dyDescent="0.25">
      <c r="A204" s="79"/>
      <c r="B204" s="15"/>
      <c r="C204" s="20"/>
      <c r="D204" s="20"/>
    </row>
    <row r="205" spans="1:4" ht="20.25" x14ac:dyDescent="0.25">
      <c r="A205" s="79"/>
      <c r="B205" s="15"/>
      <c r="C205" s="20"/>
      <c r="D205" s="20"/>
    </row>
    <row r="206" spans="1:4" ht="20.25" x14ac:dyDescent="0.25">
      <c r="A206" s="79"/>
      <c r="B206" s="15"/>
      <c r="C206" s="20"/>
      <c r="D206" s="20"/>
    </row>
    <row r="207" spans="1:4" ht="20.25" x14ac:dyDescent="0.25">
      <c r="A207" s="79"/>
      <c r="B207" s="15"/>
      <c r="C207" s="20"/>
      <c r="D207" s="20"/>
    </row>
    <row r="208" spans="1:4" x14ac:dyDescent="0.25">
      <c r="A208" s="70"/>
      <c r="B208" s="15"/>
      <c r="C208" s="15"/>
      <c r="D208" s="15"/>
    </row>
    <row r="209" spans="1:8" ht="20.25" x14ac:dyDescent="0.25">
      <c r="A209" s="70"/>
      <c r="B209" s="16" t="s">
        <v>327</v>
      </c>
      <c r="C209" s="16" t="s">
        <v>328</v>
      </c>
      <c r="D209" s="19" t="s">
        <v>327</v>
      </c>
      <c r="E209" s="19" t="s">
        <v>328</v>
      </c>
    </row>
    <row r="210" spans="1:8" ht="21" x14ac:dyDescent="0.35">
      <c r="A210" s="70"/>
      <c r="B210" s="17" t="s">
        <v>329</v>
      </c>
      <c r="C210" s="17" t="s">
        <v>330</v>
      </c>
      <c r="D210" t="s">
        <v>329</v>
      </c>
      <c r="F210" t="str">
        <f>IF(NOT(ISBLANK(D210)),D210,IF(NOT(ISBLANK(E210)),"     "&amp;E210,FALSE))</f>
        <v>Afectación Económica o presupuestal</v>
      </c>
      <c r="G210" t="s">
        <v>329</v>
      </c>
      <c r="H210" t="str">
        <f>IF(NOT(ISERROR(MATCH(G210,_xlfn.ANCHORARRAY(B221),0))),F223&amp;"Por favor no seleccionar los criterios de impacto",G210)</f>
        <v>❌Por favor no seleccionar los criterios de impacto</v>
      </c>
    </row>
    <row r="211" spans="1:8" ht="21" x14ac:dyDescent="0.35">
      <c r="A211" s="70"/>
      <c r="B211" s="17" t="s">
        <v>329</v>
      </c>
      <c r="C211" s="17" t="s">
        <v>306</v>
      </c>
      <c r="E211" t="s">
        <v>330</v>
      </c>
      <c r="F211" t="str">
        <f t="shared" ref="F211:F221" si="0">IF(NOT(ISBLANK(D211)),D211,IF(NOT(ISBLANK(E211)),"     "&amp;E211,FALSE))</f>
        <v xml:space="preserve">     Afectación menor a 10 SMLMV .</v>
      </c>
    </row>
    <row r="212" spans="1:8" ht="21" x14ac:dyDescent="0.35">
      <c r="A212" s="70"/>
      <c r="B212" s="17" t="s">
        <v>329</v>
      </c>
      <c r="C212" s="17" t="s">
        <v>309</v>
      </c>
      <c r="E212" t="s">
        <v>306</v>
      </c>
      <c r="F212" t="str">
        <f t="shared" si="0"/>
        <v xml:space="preserve">     Entre 10 y 50 SMLMV </v>
      </c>
    </row>
    <row r="213" spans="1:8" ht="21" x14ac:dyDescent="0.35">
      <c r="A213" s="70"/>
      <c r="B213" s="17" t="s">
        <v>329</v>
      </c>
      <c r="C213" s="17" t="s">
        <v>313</v>
      </c>
      <c r="E213" t="s">
        <v>309</v>
      </c>
      <c r="F213" t="str">
        <f t="shared" si="0"/>
        <v xml:space="preserve">     Entre 50 y 100 SMLMV </v>
      </c>
    </row>
    <row r="214" spans="1:8" ht="21" x14ac:dyDescent="0.35">
      <c r="A214" s="70"/>
      <c r="B214" s="17" t="s">
        <v>329</v>
      </c>
      <c r="C214" s="17" t="s">
        <v>317</v>
      </c>
      <c r="E214" t="s">
        <v>313</v>
      </c>
      <c r="F214" t="str">
        <f t="shared" si="0"/>
        <v xml:space="preserve">     Entre 100 y 500 SMLMV </v>
      </c>
    </row>
    <row r="215" spans="1:8" ht="21" x14ac:dyDescent="0.35">
      <c r="A215" s="70"/>
      <c r="B215" s="17" t="s">
        <v>300</v>
      </c>
      <c r="C215" s="17" t="s">
        <v>304</v>
      </c>
      <c r="E215" t="s">
        <v>317</v>
      </c>
      <c r="F215" t="str">
        <f t="shared" si="0"/>
        <v xml:space="preserve">     Mayor a 500 SMLMV </v>
      </c>
    </row>
    <row r="216" spans="1:8" ht="21" x14ac:dyDescent="0.35">
      <c r="A216" s="70"/>
      <c r="B216" s="17" t="s">
        <v>300</v>
      </c>
      <c r="C216" s="17" t="s">
        <v>307</v>
      </c>
      <c r="D216" t="s">
        <v>300</v>
      </c>
      <c r="F216" t="str">
        <f t="shared" si="0"/>
        <v>Pérdida Reputacional</v>
      </c>
    </row>
    <row r="217" spans="1:8" ht="21" x14ac:dyDescent="0.35">
      <c r="A217" s="70"/>
      <c r="B217" s="17" t="s">
        <v>300</v>
      </c>
      <c r="C217" s="17" t="s">
        <v>310</v>
      </c>
      <c r="E217" t="s">
        <v>304</v>
      </c>
      <c r="F217" t="str">
        <f t="shared" si="0"/>
        <v xml:space="preserve">     El riesgo afecta la imagen de alguna área de la organización</v>
      </c>
    </row>
    <row r="218" spans="1:8" ht="21" x14ac:dyDescent="0.35">
      <c r="A218" s="70"/>
      <c r="B218" s="17" t="s">
        <v>300</v>
      </c>
      <c r="C218" s="17" t="s">
        <v>314</v>
      </c>
      <c r="E218" t="s">
        <v>307</v>
      </c>
      <c r="F218" t="str">
        <f t="shared" si="0"/>
        <v xml:space="preserve">     El riesgo afecta la imagen de la entidad internamente, de conocimiento general, nivel interno, de junta dircetiva y accionistas y/o de provedores</v>
      </c>
    </row>
    <row r="219" spans="1:8" ht="21" x14ac:dyDescent="0.35">
      <c r="A219" s="70"/>
      <c r="B219" s="17" t="s">
        <v>300</v>
      </c>
      <c r="C219" s="17" t="s">
        <v>318</v>
      </c>
      <c r="E219" t="s">
        <v>310</v>
      </c>
      <c r="F219" t="str">
        <f t="shared" si="0"/>
        <v xml:space="preserve">     El riesgo afecta la imagen de la entidad con algunos usuarios de relevancia frente al logro de los objetivos</v>
      </c>
    </row>
    <row r="220" spans="1:8" x14ac:dyDescent="0.25">
      <c r="A220" s="70"/>
      <c r="B220" s="18"/>
      <c r="C220" s="18"/>
      <c r="E220" t="s">
        <v>314</v>
      </c>
      <c r="F220" t="str">
        <f t="shared" si="0"/>
        <v xml:space="preserve">     El riesgo afecta la imagen de de la entidad con efecto publicitario sostenido a nivel de sector administrativo, nivel departamental o municipal</v>
      </c>
    </row>
    <row r="221" spans="1:8" x14ac:dyDescent="0.25">
      <c r="A221" s="70"/>
      <c r="B221" s="18" t="str" cm="1">
        <f t="array" ref="B221:B223">_xlfn.UNIQUE(Tabla1[[#All],[Criterios]])</f>
        <v>Criterios</v>
      </c>
      <c r="C221" s="18"/>
      <c r="E221" t="s">
        <v>318</v>
      </c>
      <c r="F221" t="str">
        <f t="shared" si="0"/>
        <v xml:space="preserve">     El riesgo afecta la imagen de la entidad a nivel nacional, con efecto publicitarios sostenible a nivel país</v>
      </c>
    </row>
    <row r="222" spans="1:8" x14ac:dyDescent="0.25">
      <c r="A222" s="70"/>
      <c r="B222" s="18" t="str">
        <v>Afectación Económica o presupuestal</v>
      </c>
      <c r="C222" s="18"/>
    </row>
    <row r="223" spans="1:8" x14ac:dyDescent="0.25">
      <c r="B223" s="18" t="str">
        <v>Pérdida Reputacional</v>
      </c>
      <c r="C223" s="18"/>
      <c r="F223" s="21" t="s">
        <v>331</v>
      </c>
    </row>
    <row r="224" spans="1:8" x14ac:dyDescent="0.25">
      <c r="B224" s="14"/>
      <c r="C224" s="14"/>
      <c r="F224" s="21" t="s">
        <v>332</v>
      </c>
    </row>
    <row r="225" spans="2:4" x14ac:dyDescent="0.25">
      <c r="B225" s="14"/>
      <c r="C225" s="14"/>
    </row>
    <row r="226" spans="2:4" x14ac:dyDescent="0.25">
      <c r="B226" s="14"/>
      <c r="C226" s="14"/>
    </row>
    <row r="227" spans="2:4" x14ac:dyDescent="0.25">
      <c r="B227" s="14"/>
      <c r="C227" s="14"/>
      <c r="D227" s="14"/>
    </row>
    <row r="228" spans="2:4" x14ac:dyDescent="0.25">
      <c r="B228" s="14"/>
      <c r="C228" s="14"/>
      <c r="D228" s="14"/>
    </row>
    <row r="229" spans="2:4" x14ac:dyDescent="0.25">
      <c r="B229" s="14"/>
      <c r="C229" s="14"/>
      <c r="D229" s="14"/>
    </row>
    <row r="230" spans="2:4" x14ac:dyDescent="0.25">
      <c r="B230" s="14"/>
      <c r="C230" s="14"/>
      <c r="D230" s="14"/>
    </row>
    <row r="231" spans="2:4" x14ac:dyDescent="0.25">
      <c r="B231" s="14"/>
      <c r="C231" s="14"/>
      <c r="D231" s="14"/>
    </row>
    <row r="232" spans="2:4" x14ac:dyDescent="0.25">
      <c r="B232" s="14"/>
      <c r="C232" s="14"/>
      <c r="D232" s="14"/>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7" tint="-0.249977111117893"/>
  </sheetPr>
  <dimension ref="B1:F205"/>
  <sheetViews>
    <sheetView topLeftCell="A11" workbookViewId="0">
      <selection activeCell="C22" sqref="C22"/>
    </sheetView>
  </sheetViews>
  <sheetFormatPr baseColWidth="10" defaultColWidth="14.28515625" defaultRowHeight="12.75" x14ac:dyDescent="0.2"/>
  <cols>
    <col min="1" max="2" width="14.28515625" style="72"/>
    <col min="3" max="3" width="91.5703125" style="72" bestFit="1" customWidth="1"/>
    <col min="4" max="4" width="98.140625" style="72" customWidth="1"/>
    <col min="5" max="5" width="85.140625" style="72" bestFit="1" customWidth="1"/>
    <col min="6" max="16384" width="14.28515625" style="72"/>
  </cols>
  <sheetData>
    <row r="1" spans="2:6" ht="18.75" thickBot="1" x14ac:dyDescent="0.25">
      <c r="B1" s="453" t="s">
        <v>333</v>
      </c>
      <c r="C1" s="454"/>
      <c r="D1" s="454"/>
      <c r="E1" s="454"/>
      <c r="F1" s="455"/>
    </row>
    <row r="2" spans="2:6" ht="16.5" thickBot="1" x14ac:dyDescent="0.3">
      <c r="B2" s="73"/>
      <c r="C2" s="73"/>
      <c r="D2" s="73"/>
      <c r="E2" s="73"/>
      <c r="F2" s="73"/>
    </row>
    <row r="3" spans="2:6" ht="16.5" thickBot="1" x14ac:dyDescent="0.25">
      <c r="B3" s="456" t="s">
        <v>334</v>
      </c>
      <c r="C3" s="457"/>
      <c r="D3" s="457"/>
      <c r="E3" s="135" t="s">
        <v>335</v>
      </c>
      <c r="F3" s="102" t="s">
        <v>336</v>
      </c>
    </row>
    <row r="4" spans="2:6" ht="15.75" x14ac:dyDescent="0.2">
      <c r="B4" s="458" t="s">
        <v>337</v>
      </c>
      <c r="C4" s="461" t="s">
        <v>338</v>
      </c>
      <c r="D4" s="136" t="s">
        <v>111</v>
      </c>
      <c r="E4" s="103" t="s">
        <v>339</v>
      </c>
      <c r="F4" s="104">
        <v>0.25</v>
      </c>
    </row>
    <row r="5" spans="2:6" ht="31.5" x14ac:dyDescent="0.2">
      <c r="B5" s="459"/>
      <c r="C5" s="462"/>
      <c r="D5" s="137" t="s">
        <v>171</v>
      </c>
      <c r="E5" s="74" t="s">
        <v>340</v>
      </c>
      <c r="F5" s="75">
        <v>0.15</v>
      </c>
    </row>
    <row r="6" spans="2:6" ht="31.5" x14ac:dyDescent="0.2">
      <c r="B6" s="459"/>
      <c r="C6" s="462"/>
      <c r="D6" s="137" t="s">
        <v>341</v>
      </c>
      <c r="E6" s="74" t="s">
        <v>342</v>
      </c>
      <c r="F6" s="75">
        <v>0.1</v>
      </c>
    </row>
    <row r="7" spans="2:6" ht="31.5" x14ac:dyDescent="0.2">
      <c r="B7" s="459"/>
      <c r="C7" s="462" t="s">
        <v>343</v>
      </c>
      <c r="D7" s="137" t="s">
        <v>164</v>
      </c>
      <c r="E7" s="74" t="s">
        <v>344</v>
      </c>
      <c r="F7" s="75">
        <v>0.25</v>
      </c>
    </row>
    <row r="8" spans="2:6" ht="16.5" thickBot="1" x14ac:dyDescent="0.25">
      <c r="B8" s="460"/>
      <c r="C8" s="463"/>
      <c r="D8" s="138" t="s">
        <v>112</v>
      </c>
      <c r="E8" s="77" t="s">
        <v>345</v>
      </c>
      <c r="F8" s="105">
        <v>0.15</v>
      </c>
    </row>
    <row r="9" spans="2:6" ht="31.5" x14ac:dyDescent="0.2">
      <c r="B9" s="458" t="s">
        <v>346</v>
      </c>
      <c r="C9" s="461" t="s">
        <v>347</v>
      </c>
      <c r="D9" s="136" t="s">
        <v>113</v>
      </c>
      <c r="E9" s="103" t="s">
        <v>348</v>
      </c>
      <c r="F9" s="106" t="s">
        <v>349</v>
      </c>
    </row>
    <row r="10" spans="2:6" ht="31.5" x14ac:dyDescent="0.2">
      <c r="B10" s="459"/>
      <c r="C10" s="462"/>
      <c r="D10" s="137" t="s">
        <v>147</v>
      </c>
      <c r="E10" s="74" t="s">
        <v>350</v>
      </c>
      <c r="F10" s="76" t="s">
        <v>349</v>
      </c>
    </row>
    <row r="11" spans="2:6" ht="31.5" x14ac:dyDescent="0.2">
      <c r="B11" s="459"/>
      <c r="C11" s="462" t="s">
        <v>351</v>
      </c>
      <c r="D11" s="137" t="s">
        <v>148</v>
      </c>
      <c r="E11" s="74" t="s">
        <v>352</v>
      </c>
      <c r="F11" s="76" t="s">
        <v>349</v>
      </c>
    </row>
    <row r="12" spans="2:6" ht="31.5" x14ac:dyDescent="0.2">
      <c r="B12" s="459"/>
      <c r="C12" s="462"/>
      <c r="D12" s="137" t="s">
        <v>114</v>
      </c>
      <c r="E12" s="74" t="s">
        <v>353</v>
      </c>
      <c r="F12" s="76" t="s">
        <v>349</v>
      </c>
    </row>
    <row r="13" spans="2:6" ht="15.75" x14ac:dyDescent="0.2">
      <c r="B13" s="459"/>
      <c r="C13" s="462" t="s">
        <v>354</v>
      </c>
      <c r="D13" s="137" t="s">
        <v>115</v>
      </c>
      <c r="E13" s="74" t="s">
        <v>355</v>
      </c>
      <c r="F13" s="76" t="s">
        <v>349</v>
      </c>
    </row>
    <row r="14" spans="2:6" ht="16.5" thickBot="1" x14ac:dyDescent="0.25">
      <c r="B14" s="460"/>
      <c r="C14" s="463"/>
      <c r="D14" s="138" t="s">
        <v>356</v>
      </c>
      <c r="E14" s="77" t="s">
        <v>357</v>
      </c>
      <c r="F14" s="78" t="s">
        <v>349</v>
      </c>
    </row>
    <row r="15" spans="2:6" x14ac:dyDescent="0.2">
      <c r="B15" s="449" t="s">
        <v>358</v>
      </c>
      <c r="C15" s="98" t="s">
        <v>359</v>
      </c>
      <c r="D15" s="99"/>
      <c r="E15" s="99"/>
      <c r="F15" s="95"/>
    </row>
    <row r="16" spans="2:6" x14ac:dyDescent="0.2">
      <c r="B16" s="451"/>
      <c r="C16" s="89" t="s">
        <v>101</v>
      </c>
      <c r="D16" s="85"/>
      <c r="E16" s="85"/>
      <c r="F16" s="86"/>
    </row>
    <row r="17" spans="2:6" x14ac:dyDescent="0.2">
      <c r="B17" s="451"/>
      <c r="C17" s="89" t="s">
        <v>141</v>
      </c>
      <c r="D17" s="85"/>
      <c r="E17" s="85"/>
      <c r="F17" s="86"/>
    </row>
    <row r="18" spans="2:6" x14ac:dyDescent="0.2">
      <c r="B18" s="451"/>
      <c r="C18" s="89" t="s">
        <v>360</v>
      </c>
      <c r="D18" s="85"/>
      <c r="E18" s="85"/>
      <c r="F18" s="86"/>
    </row>
    <row r="19" spans="2:6" x14ac:dyDescent="0.2">
      <c r="B19" s="451"/>
      <c r="C19" s="89" t="s">
        <v>361</v>
      </c>
      <c r="D19" s="85"/>
      <c r="E19" s="85"/>
      <c r="F19" s="86"/>
    </row>
    <row r="20" spans="2:6" x14ac:dyDescent="0.2">
      <c r="B20" s="451"/>
      <c r="C20" s="89" t="s">
        <v>362</v>
      </c>
      <c r="D20" s="85"/>
      <c r="E20" s="85"/>
      <c r="F20" s="86"/>
    </row>
    <row r="21" spans="2:6" x14ac:dyDescent="0.2">
      <c r="B21" s="451"/>
      <c r="C21" s="89" t="s">
        <v>363</v>
      </c>
      <c r="D21" s="85"/>
      <c r="E21" s="85"/>
      <c r="F21" s="86"/>
    </row>
    <row r="22" spans="2:6" x14ac:dyDescent="0.2">
      <c r="B22" s="451"/>
      <c r="C22" s="89" t="s">
        <v>364</v>
      </c>
      <c r="D22" s="85"/>
      <c r="E22" s="85"/>
      <c r="F22" s="86"/>
    </row>
    <row r="23" spans="2:6" x14ac:dyDescent="0.2">
      <c r="B23" s="451"/>
      <c r="C23" s="89" t="s">
        <v>176</v>
      </c>
      <c r="D23" s="85"/>
      <c r="E23" s="85"/>
      <c r="F23" s="86"/>
    </row>
    <row r="24" spans="2:6" x14ac:dyDescent="0.2">
      <c r="B24" s="451"/>
      <c r="C24" s="89" t="s">
        <v>159</v>
      </c>
      <c r="D24" s="85"/>
      <c r="E24" s="85"/>
      <c r="F24" s="86"/>
    </row>
    <row r="25" spans="2:6" x14ac:dyDescent="0.2">
      <c r="B25" s="451"/>
      <c r="C25" s="89" t="s">
        <v>259</v>
      </c>
      <c r="D25" s="85"/>
      <c r="E25" s="85"/>
      <c r="F25" s="86"/>
    </row>
    <row r="26" spans="2:6" x14ac:dyDescent="0.2">
      <c r="B26" s="451"/>
      <c r="C26" s="89" t="s">
        <v>269</v>
      </c>
      <c r="D26" s="85"/>
      <c r="E26" s="85"/>
      <c r="F26" s="86"/>
    </row>
    <row r="27" spans="2:6" x14ac:dyDescent="0.2">
      <c r="B27" s="451"/>
      <c r="C27" s="89" t="s">
        <v>365</v>
      </c>
      <c r="D27" s="85"/>
      <c r="E27" s="85"/>
      <c r="F27" s="86"/>
    </row>
    <row r="28" spans="2:6" ht="13.5" thickBot="1" x14ac:dyDescent="0.25">
      <c r="B28" s="464"/>
      <c r="C28" s="90" t="s">
        <v>366</v>
      </c>
      <c r="D28" s="87"/>
      <c r="E28" s="87"/>
      <c r="F28" s="88"/>
    </row>
    <row r="29" spans="2:6" ht="15" x14ac:dyDescent="0.25">
      <c r="B29" s="449" t="s">
        <v>367</v>
      </c>
      <c r="C29" s="94" t="s">
        <v>368</v>
      </c>
      <c r="D29" s="100" t="s">
        <v>367</v>
      </c>
      <c r="E29" s="99"/>
      <c r="F29" s="95"/>
    </row>
    <row r="30" spans="2:6" ht="15" x14ac:dyDescent="0.25">
      <c r="B30" s="450"/>
      <c r="C30" s="93" t="s">
        <v>192</v>
      </c>
      <c r="D30" s="132" t="s">
        <v>193</v>
      </c>
      <c r="E30" s="133"/>
      <c r="F30" s="134"/>
    </row>
    <row r="31" spans="2:6" ht="15.75" x14ac:dyDescent="0.25">
      <c r="B31" s="451"/>
      <c r="C31" s="93" t="s">
        <v>369</v>
      </c>
      <c r="D31" s="85"/>
      <c r="E31" s="85"/>
      <c r="F31" s="96"/>
    </row>
    <row r="32" spans="2:6" ht="15" x14ac:dyDescent="0.25">
      <c r="B32" s="451"/>
      <c r="C32" s="93" t="s">
        <v>123</v>
      </c>
      <c r="D32" s="101" t="s">
        <v>370</v>
      </c>
      <c r="E32" s="85"/>
      <c r="F32" s="86"/>
    </row>
    <row r="33" spans="2:6" ht="15" x14ac:dyDescent="0.25">
      <c r="B33" s="451"/>
      <c r="C33" s="93" t="s">
        <v>371</v>
      </c>
      <c r="D33" s="112" t="s">
        <v>372</v>
      </c>
      <c r="E33" s="85"/>
      <c r="F33" s="86"/>
    </row>
    <row r="34" spans="2:6" ht="15" x14ac:dyDescent="0.25">
      <c r="B34" s="451"/>
      <c r="C34" s="93" t="s">
        <v>153</v>
      </c>
      <c r="D34" s="112" t="s">
        <v>373</v>
      </c>
      <c r="E34" s="85"/>
      <c r="F34" s="86"/>
    </row>
    <row r="35" spans="2:6" ht="15" x14ac:dyDescent="0.25">
      <c r="B35" s="451"/>
      <c r="C35" s="93" t="s">
        <v>243</v>
      </c>
      <c r="D35" s="101" t="s">
        <v>374</v>
      </c>
      <c r="E35" s="85"/>
      <c r="F35" s="86"/>
    </row>
    <row r="36" spans="2:6" ht="15" x14ac:dyDescent="0.25">
      <c r="B36" s="451"/>
      <c r="C36" s="93" t="s">
        <v>375</v>
      </c>
      <c r="D36" s="93" t="s">
        <v>376</v>
      </c>
      <c r="E36" s="85"/>
      <c r="F36" s="86"/>
    </row>
    <row r="37" spans="2:6" ht="15" x14ac:dyDescent="0.25">
      <c r="B37" s="451"/>
      <c r="C37" s="93" t="s">
        <v>202</v>
      </c>
      <c r="D37" s="93" t="s">
        <v>377</v>
      </c>
      <c r="E37" s="85"/>
      <c r="F37" s="86"/>
    </row>
    <row r="38" spans="2:6" ht="15" x14ac:dyDescent="0.25">
      <c r="B38" s="451"/>
      <c r="C38" s="93" t="s">
        <v>378</v>
      </c>
      <c r="D38" s="93" t="s">
        <v>379</v>
      </c>
      <c r="E38" s="85"/>
      <c r="F38" s="86"/>
    </row>
    <row r="39" spans="2:6" ht="15" x14ac:dyDescent="0.25">
      <c r="B39" s="451"/>
      <c r="C39" s="93" t="s">
        <v>185</v>
      </c>
      <c r="D39" s="93" t="s">
        <v>380</v>
      </c>
      <c r="E39" s="85"/>
      <c r="F39" s="86"/>
    </row>
    <row r="40" spans="2:6" ht="15" x14ac:dyDescent="0.25">
      <c r="B40" s="451"/>
      <c r="C40" s="93" t="s">
        <v>381</v>
      </c>
      <c r="D40" s="93" t="s">
        <v>382</v>
      </c>
      <c r="E40" s="85"/>
      <c r="F40" s="86"/>
    </row>
    <row r="41" spans="2:6" ht="15" x14ac:dyDescent="0.25">
      <c r="B41" s="451"/>
      <c r="C41" s="93" t="s">
        <v>383</v>
      </c>
      <c r="D41" s="101" t="s">
        <v>384</v>
      </c>
      <c r="E41" s="85"/>
      <c r="F41" s="86"/>
    </row>
    <row r="42" spans="2:6" ht="15" x14ac:dyDescent="0.25">
      <c r="B42" s="451"/>
      <c r="C42" s="93" t="s">
        <v>136</v>
      </c>
      <c r="D42" s="93" t="s">
        <v>385</v>
      </c>
      <c r="E42" s="85"/>
      <c r="F42" s="86"/>
    </row>
    <row r="43" spans="2:6" ht="15" x14ac:dyDescent="0.25">
      <c r="B43" s="451"/>
      <c r="C43" s="93" t="s">
        <v>386</v>
      </c>
      <c r="D43" s="93" t="s">
        <v>387</v>
      </c>
      <c r="E43" s="85"/>
      <c r="F43" s="86"/>
    </row>
    <row r="44" spans="2:6" ht="15" x14ac:dyDescent="0.25">
      <c r="B44" s="451"/>
      <c r="C44" s="93"/>
      <c r="D44" s="101" t="s">
        <v>388</v>
      </c>
      <c r="E44" s="85"/>
      <c r="F44" s="86"/>
    </row>
    <row r="45" spans="2:6" ht="15.75" thickBot="1" x14ac:dyDescent="0.3">
      <c r="B45" s="451"/>
      <c r="C45" s="93"/>
      <c r="D45" s="93" t="s">
        <v>389</v>
      </c>
      <c r="E45" s="85"/>
      <c r="F45" s="86"/>
    </row>
    <row r="46" spans="2:6" ht="15" x14ac:dyDescent="0.25">
      <c r="B46" s="451"/>
      <c r="C46" s="94" t="s">
        <v>368</v>
      </c>
      <c r="D46" s="93" t="s">
        <v>390</v>
      </c>
      <c r="E46" s="85"/>
      <c r="F46" s="86"/>
    </row>
    <row r="47" spans="2:6" ht="15" x14ac:dyDescent="0.25">
      <c r="B47" s="451"/>
      <c r="C47" s="93" t="s">
        <v>370</v>
      </c>
      <c r="D47" s="101" t="s">
        <v>124</v>
      </c>
      <c r="E47" s="85"/>
      <c r="F47" s="86"/>
    </row>
    <row r="48" spans="2:6" ht="15" x14ac:dyDescent="0.25">
      <c r="B48" s="451"/>
      <c r="C48" s="93"/>
      <c r="D48" s="93" t="s">
        <v>391</v>
      </c>
      <c r="E48" s="85"/>
      <c r="F48" s="86"/>
    </row>
    <row r="49" spans="2:6" ht="15" x14ac:dyDescent="0.25">
      <c r="B49" s="451"/>
      <c r="C49" s="93" t="s">
        <v>369</v>
      </c>
      <c r="D49" s="93" t="s">
        <v>125</v>
      </c>
      <c r="E49" s="85"/>
      <c r="F49" s="86"/>
    </row>
    <row r="50" spans="2:6" ht="15" x14ac:dyDescent="0.25">
      <c r="B50" s="451"/>
      <c r="C50" s="93" t="s">
        <v>374</v>
      </c>
      <c r="D50" s="93" t="s">
        <v>392</v>
      </c>
      <c r="E50" s="85"/>
      <c r="F50" s="86"/>
    </row>
    <row r="51" spans="2:6" ht="15" x14ac:dyDescent="0.25">
      <c r="B51" s="451"/>
      <c r="C51" s="93" t="s">
        <v>384</v>
      </c>
      <c r="D51" s="101" t="s">
        <v>393</v>
      </c>
      <c r="E51" s="85"/>
      <c r="F51" s="86"/>
    </row>
    <row r="52" spans="2:6" ht="15" x14ac:dyDescent="0.25">
      <c r="B52" s="451"/>
      <c r="C52" s="93"/>
      <c r="D52" s="93" t="s">
        <v>394</v>
      </c>
      <c r="E52" s="85"/>
      <c r="F52" s="86"/>
    </row>
    <row r="53" spans="2:6" ht="15" x14ac:dyDescent="0.25">
      <c r="B53" s="451"/>
      <c r="C53" s="93" t="s">
        <v>123</v>
      </c>
      <c r="D53" s="101" t="s">
        <v>395</v>
      </c>
      <c r="E53" s="85"/>
      <c r="F53" s="86"/>
    </row>
    <row r="54" spans="2:6" ht="15" x14ac:dyDescent="0.25">
      <c r="B54" s="451"/>
      <c r="C54" s="93" t="s">
        <v>388</v>
      </c>
      <c r="D54" s="93" t="s">
        <v>396</v>
      </c>
      <c r="E54" s="85"/>
      <c r="F54" s="86"/>
    </row>
    <row r="55" spans="2:6" ht="15" x14ac:dyDescent="0.25">
      <c r="B55" s="451"/>
      <c r="C55" s="93" t="s">
        <v>124</v>
      </c>
      <c r="D55" s="93" t="s">
        <v>397</v>
      </c>
      <c r="E55" s="85"/>
      <c r="F55" s="86"/>
    </row>
    <row r="56" spans="2:6" ht="15" x14ac:dyDescent="0.25">
      <c r="B56" s="451"/>
      <c r="C56" s="93" t="s">
        <v>393</v>
      </c>
      <c r="D56" s="93" t="s">
        <v>398</v>
      </c>
      <c r="E56" s="85"/>
      <c r="F56" s="86"/>
    </row>
    <row r="57" spans="2:6" ht="15" x14ac:dyDescent="0.25">
      <c r="B57" s="451"/>
      <c r="C57" s="93"/>
      <c r="D57" t="s">
        <v>399</v>
      </c>
      <c r="E57" s="85"/>
      <c r="F57" s="86"/>
    </row>
    <row r="58" spans="2:6" ht="15" x14ac:dyDescent="0.25">
      <c r="B58" s="451"/>
      <c r="C58" s="93" t="s">
        <v>371</v>
      </c>
      <c r="D58" s="101" t="s">
        <v>400</v>
      </c>
      <c r="E58" s="85"/>
      <c r="F58" s="86"/>
    </row>
    <row r="59" spans="2:6" ht="15" x14ac:dyDescent="0.25">
      <c r="B59" s="451"/>
      <c r="C59" s="93" t="s">
        <v>395</v>
      </c>
      <c r="D59" s="93" t="s">
        <v>400</v>
      </c>
      <c r="E59" s="85"/>
      <c r="F59" s="86"/>
    </row>
    <row r="60" spans="2:6" ht="15" x14ac:dyDescent="0.25">
      <c r="B60" s="451"/>
      <c r="C60" s="93" t="s">
        <v>400</v>
      </c>
      <c r="D60" s="93" t="s">
        <v>401</v>
      </c>
      <c r="E60" s="85"/>
      <c r="F60" s="86"/>
    </row>
    <row r="61" spans="2:6" ht="15" x14ac:dyDescent="0.25">
      <c r="B61" s="451"/>
      <c r="C61" s="93" t="s">
        <v>402</v>
      </c>
      <c r="D61" s="93" t="s">
        <v>403</v>
      </c>
      <c r="E61" s="85"/>
      <c r="F61" s="86"/>
    </row>
    <row r="62" spans="2:6" ht="15" x14ac:dyDescent="0.25">
      <c r="B62" s="451"/>
      <c r="C62" s="93"/>
      <c r="D62" s="101" t="s">
        <v>402</v>
      </c>
      <c r="E62" s="85"/>
      <c r="F62" s="86"/>
    </row>
    <row r="63" spans="2:6" ht="15" x14ac:dyDescent="0.25">
      <c r="B63" s="451"/>
      <c r="C63" s="93" t="s">
        <v>153</v>
      </c>
      <c r="D63" s="93" t="s">
        <v>404</v>
      </c>
      <c r="E63" s="85"/>
      <c r="F63" s="86"/>
    </row>
    <row r="64" spans="2:6" ht="15" x14ac:dyDescent="0.25">
      <c r="B64" s="451"/>
      <c r="C64" s="93" t="s">
        <v>405</v>
      </c>
      <c r="D64" s="93" t="s">
        <v>406</v>
      </c>
      <c r="E64" s="85"/>
      <c r="F64" s="86"/>
    </row>
    <row r="65" spans="2:6" ht="15" x14ac:dyDescent="0.25">
      <c r="B65" s="451"/>
      <c r="C65" s="93" t="s">
        <v>154</v>
      </c>
      <c r="D65" s="93" t="s">
        <v>407</v>
      </c>
      <c r="E65" s="85"/>
      <c r="F65" s="86"/>
    </row>
    <row r="66" spans="2:6" ht="15" x14ac:dyDescent="0.25">
      <c r="B66" s="451"/>
      <c r="C66" s="93" t="s">
        <v>408</v>
      </c>
      <c r="D66" s="101" t="s">
        <v>405</v>
      </c>
      <c r="E66" s="85"/>
      <c r="F66" s="86"/>
    </row>
    <row r="67" spans="2:6" ht="15" x14ac:dyDescent="0.25">
      <c r="B67" s="451"/>
      <c r="C67" s="93" t="s">
        <v>409</v>
      </c>
      <c r="D67" s="93" t="s">
        <v>410</v>
      </c>
      <c r="E67" s="85"/>
      <c r="F67" s="86"/>
    </row>
    <row r="68" spans="2:6" ht="15" x14ac:dyDescent="0.25">
      <c r="B68" s="451"/>
      <c r="C68" s="93"/>
      <c r="D68" s="93" t="s">
        <v>411</v>
      </c>
      <c r="E68" s="85"/>
      <c r="F68" s="86"/>
    </row>
    <row r="69" spans="2:6" ht="15" x14ac:dyDescent="0.25">
      <c r="B69" s="451"/>
      <c r="C69" s="93" t="s">
        <v>243</v>
      </c>
      <c r="D69" s="101" t="s">
        <v>154</v>
      </c>
      <c r="E69" s="85"/>
      <c r="F69" s="86"/>
    </row>
    <row r="70" spans="2:6" ht="15" x14ac:dyDescent="0.25">
      <c r="B70" s="451"/>
      <c r="C70" s="93" t="s">
        <v>244</v>
      </c>
      <c r="D70" s="93" t="s">
        <v>412</v>
      </c>
      <c r="E70" s="85"/>
      <c r="F70" s="86"/>
    </row>
    <row r="71" spans="2:6" ht="15" x14ac:dyDescent="0.25">
      <c r="B71" s="451"/>
      <c r="C71" s="93"/>
      <c r="D71" s="93" t="s">
        <v>413</v>
      </c>
      <c r="E71" s="85"/>
      <c r="F71" s="86"/>
    </row>
    <row r="72" spans="2:6" ht="15" x14ac:dyDescent="0.25">
      <c r="B72" s="451"/>
      <c r="C72" s="93" t="s">
        <v>375</v>
      </c>
      <c r="D72" s="93" t="s">
        <v>155</v>
      </c>
      <c r="E72" s="85"/>
      <c r="F72" s="86"/>
    </row>
    <row r="73" spans="2:6" ht="15" x14ac:dyDescent="0.25">
      <c r="B73" s="451"/>
      <c r="C73" s="93" t="s">
        <v>414</v>
      </c>
      <c r="D73" s="93" t="s">
        <v>415</v>
      </c>
      <c r="E73" s="85"/>
      <c r="F73" s="86"/>
    </row>
    <row r="74" spans="2:6" ht="15" x14ac:dyDescent="0.25">
      <c r="B74" s="451"/>
      <c r="C74" s="93" t="s">
        <v>416</v>
      </c>
      <c r="D74" s="93" t="s">
        <v>417</v>
      </c>
      <c r="E74" s="85"/>
      <c r="F74" s="86"/>
    </row>
    <row r="75" spans="2:6" ht="15" x14ac:dyDescent="0.25">
      <c r="B75" s="451"/>
      <c r="C75" s="93"/>
      <c r="D75" s="93" t="s">
        <v>418</v>
      </c>
      <c r="E75" s="85"/>
      <c r="F75" s="86"/>
    </row>
    <row r="76" spans="2:6" ht="15" x14ac:dyDescent="0.25">
      <c r="B76" s="451"/>
      <c r="C76" s="93" t="s">
        <v>419</v>
      </c>
      <c r="D76" s="101" t="s">
        <v>408</v>
      </c>
      <c r="E76" s="85"/>
      <c r="F76" s="86"/>
    </row>
    <row r="77" spans="2:6" ht="15" x14ac:dyDescent="0.25">
      <c r="B77" s="451"/>
      <c r="C77" s="93" t="s">
        <v>420</v>
      </c>
      <c r="D77" s="93" t="s">
        <v>421</v>
      </c>
      <c r="E77" s="85"/>
      <c r="F77" s="86"/>
    </row>
    <row r="78" spans="2:6" ht="15" x14ac:dyDescent="0.25">
      <c r="B78" s="451"/>
      <c r="C78" s="93" t="s">
        <v>422</v>
      </c>
      <c r="D78" s="101" t="s">
        <v>409</v>
      </c>
      <c r="E78" s="85"/>
      <c r="F78" s="86"/>
    </row>
    <row r="79" spans="2:6" ht="15" x14ac:dyDescent="0.25">
      <c r="B79" s="451"/>
      <c r="C79" s="93" t="s">
        <v>203</v>
      </c>
      <c r="D79" s="93" t="s">
        <v>423</v>
      </c>
      <c r="E79" s="85"/>
      <c r="F79" s="86"/>
    </row>
    <row r="80" spans="2:6" ht="15" x14ac:dyDescent="0.25">
      <c r="B80" s="451"/>
      <c r="C80" s="93" t="s">
        <v>424</v>
      </c>
      <c r="D80" s="93" t="s">
        <v>425</v>
      </c>
      <c r="E80" s="85"/>
      <c r="F80" s="86"/>
    </row>
    <row r="81" spans="2:6" ht="15" x14ac:dyDescent="0.25">
      <c r="B81" s="451"/>
      <c r="C81" s="93" t="s">
        <v>426</v>
      </c>
      <c r="D81" s="93" t="s">
        <v>427</v>
      </c>
      <c r="E81" s="85"/>
      <c r="F81" s="86"/>
    </row>
    <row r="82" spans="2:6" ht="15" x14ac:dyDescent="0.25">
      <c r="B82" s="451"/>
      <c r="C82" s="93" t="s">
        <v>428</v>
      </c>
      <c r="D82" s="93" t="s">
        <v>429</v>
      </c>
      <c r="E82" s="85"/>
      <c r="F82" s="86"/>
    </row>
    <row r="83" spans="2:6" ht="15" x14ac:dyDescent="0.25">
      <c r="B83" s="451"/>
      <c r="C83" s="93" t="s">
        <v>430</v>
      </c>
      <c r="D83" s="93" t="s">
        <v>431</v>
      </c>
      <c r="E83" s="85"/>
      <c r="F83" s="86"/>
    </row>
    <row r="84" spans="2:6" ht="15" x14ac:dyDescent="0.25">
      <c r="B84" s="451"/>
      <c r="C84" s="93"/>
      <c r="D84" s="101" t="s">
        <v>244</v>
      </c>
      <c r="E84" s="85"/>
      <c r="F84" s="86"/>
    </row>
    <row r="85" spans="2:6" ht="15" x14ac:dyDescent="0.25">
      <c r="B85" s="451"/>
      <c r="C85" s="93" t="s">
        <v>378</v>
      </c>
      <c r="D85" s="93" t="s">
        <v>432</v>
      </c>
      <c r="E85" s="85"/>
      <c r="F85" s="86"/>
    </row>
    <row r="86" spans="2:6" ht="15" x14ac:dyDescent="0.25">
      <c r="B86" s="451"/>
      <c r="C86" s="93" t="s">
        <v>433</v>
      </c>
      <c r="D86" s="93" t="s">
        <v>245</v>
      </c>
      <c r="E86" s="85"/>
      <c r="F86" s="86"/>
    </row>
    <row r="87" spans="2:6" ht="15" x14ac:dyDescent="0.25">
      <c r="B87" s="451"/>
      <c r="C87" s="93" t="s">
        <v>434</v>
      </c>
      <c r="D87" s="101" t="s">
        <v>414</v>
      </c>
      <c r="E87" s="85"/>
      <c r="F87" s="86"/>
    </row>
    <row r="88" spans="2:6" ht="15" x14ac:dyDescent="0.25">
      <c r="B88" s="451"/>
      <c r="C88" s="93"/>
      <c r="D88" s="93" t="s">
        <v>435</v>
      </c>
      <c r="E88" s="85"/>
      <c r="F88" s="86"/>
    </row>
    <row r="89" spans="2:6" ht="15" x14ac:dyDescent="0.25">
      <c r="B89" s="451"/>
      <c r="C89" s="93" t="s">
        <v>185</v>
      </c>
      <c r="D89" s="93" t="s">
        <v>436</v>
      </c>
      <c r="E89" s="85"/>
      <c r="F89" s="86"/>
    </row>
    <row r="90" spans="2:6" ht="15" x14ac:dyDescent="0.25">
      <c r="B90" s="451"/>
      <c r="C90" s="93" t="s">
        <v>186</v>
      </c>
      <c r="D90" s="93" t="s">
        <v>437</v>
      </c>
      <c r="E90" s="85"/>
      <c r="F90" s="86"/>
    </row>
    <row r="91" spans="2:6" ht="15" x14ac:dyDescent="0.25">
      <c r="B91" s="451"/>
      <c r="C91" s="93" t="s">
        <v>438</v>
      </c>
      <c r="D91" s="93" t="s">
        <v>439</v>
      </c>
      <c r="E91" s="85"/>
      <c r="F91" s="86"/>
    </row>
    <row r="92" spans="2:6" ht="15" x14ac:dyDescent="0.25">
      <c r="B92" s="451"/>
      <c r="C92" s="93" t="s">
        <v>440</v>
      </c>
      <c r="D92" s="93" t="s">
        <v>441</v>
      </c>
      <c r="E92" s="85"/>
      <c r="F92" s="86"/>
    </row>
    <row r="93" spans="2:6" ht="15" x14ac:dyDescent="0.25">
      <c r="B93" s="451"/>
      <c r="C93" s="93"/>
      <c r="D93" s="93" t="s">
        <v>442</v>
      </c>
      <c r="E93" s="85"/>
      <c r="F93" s="86"/>
    </row>
    <row r="94" spans="2:6" ht="15" x14ac:dyDescent="0.25">
      <c r="B94" s="451"/>
      <c r="C94" s="93" t="s">
        <v>381</v>
      </c>
      <c r="D94" s="101" t="s">
        <v>416</v>
      </c>
      <c r="E94" s="85"/>
      <c r="F94" s="86"/>
    </row>
    <row r="95" spans="2:6" ht="15" x14ac:dyDescent="0.25">
      <c r="B95" s="451"/>
      <c r="C95" s="93" t="s">
        <v>443</v>
      </c>
      <c r="D95" s="93" t="s">
        <v>444</v>
      </c>
      <c r="E95" s="85"/>
      <c r="F95" s="86"/>
    </row>
    <row r="96" spans="2:6" ht="15" x14ac:dyDescent="0.25">
      <c r="B96" s="451"/>
      <c r="C96" s="93" t="s">
        <v>445</v>
      </c>
      <c r="D96" s="93" t="s">
        <v>446</v>
      </c>
      <c r="E96" s="85"/>
      <c r="F96" s="86"/>
    </row>
    <row r="97" spans="2:6" ht="15" x14ac:dyDescent="0.25">
      <c r="B97" s="451"/>
      <c r="C97" s="93"/>
      <c r="D97" s="93" t="s">
        <v>447</v>
      </c>
      <c r="E97" s="85"/>
      <c r="F97" s="86"/>
    </row>
    <row r="98" spans="2:6" ht="15" x14ac:dyDescent="0.25">
      <c r="B98" s="451"/>
      <c r="C98" s="93" t="s">
        <v>383</v>
      </c>
      <c r="D98" s="93" t="s">
        <v>448</v>
      </c>
      <c r="E98" s="85"/>
      <c r="F98" s="86"/>
    </row>
    <row r="99" spans="2:6" ht="15" x14ac:dyDescent="0.25">
      <c r="B99" s="451"/>
      <c r="C99" s="93" t="s">
        <v>449</v>
      </c>
      <c r="D99" s="93" t="s">
        <v>450</v>
      </c>
      <c r="E99" s="85"/>
      <c r="F99" s="86"/>
    </row>
    <row r="100" spans="2:6" ht="15" x14ac:dyDescent="0.25">
      <c r="B100" s="451"/>
      <c r="C100" s="93"/>
      <c r="D100" s="93" t="s">
        <v>451</v>
      </c>
      <c r="E100" s="85"/>
      <c r="F100" s="86"/>
    </row>
    <row r="101" spans="2:6" ht="15" x14ac:dyDescent="0.25">
      <c r="B101" s="451"/>
      <c r="C101" s="93" t="s">
        <v>136</v>
      </c>
      <c r="D101" s="93" t="s">
        <v>452</v>
      </c>
      <c r="E101" s="85"/>
      <c r="F101" s="86"/>
    </row>
    <row r="102" spans="2:6" ht="15" x14ac:dyDescent="0.25">
      <c r="B102" s="451"/>
      <c r="C102" s="93" t="s">
        <v>137</v>
      </c>
      <c r="D102" s="93" t="s">
        <v>453</v>
      </c>
      <c r="E102" s="85"/>
      <c r="F102" s="86"/>
    </row>
    <row r="103" spans="2:6" ht="15" x14ac:dyDescent="0.25">
      <c r="B103" s="451"/>
      <c r="C103" s="93" t="s">
        <v>454</v>
      </c>
      <c r="D103" s="93" t="s">
        <v>455</v>
      </c>
      <c r="E103" s="85"/>
      <c r="F103" s="86"/>
    </row>
    <row r="104" spans="2:6" ht="15" x14ac:dyDescent="0.25">
      <c r="B104" s="451"/>
      <c r="C104" s="93"/>
      <c r="D104" s="101" t="s">
        <v>420</v>
      </c>
      <c r="E104" s="85"/>
      <c r="F104" s="86"/>
    </row>
    <row r="105" spans="2:6" ht="15" x14ac:dyDescent="0.25">
      <c r="B105" s="451"/>
      <c r="C105" s="93" t="s">
        <v>386</v>
      </c>
      <c r="D105" s="93" t="s">
        <v>456</v>
      </c>
      <c r="E105" s="85"/>
      <c r="F105" s="86"/>
    </row>
    <row r="106" spans="2:6" ht="15" x14ac:dyDescent="0.25">
      <c r="B106" s="451"/>
      <c r="C106" s="93" t="s">
        <v>457</v>
      </c>
      <c r="D106" s="93" t="s">
        <v>458</v>
      </c>
      <c r="E106" s="85"/>
      <c r="F106" s="86"/>
    </row>
    <row r="107" spans="2:6" ht="15" x14ac:dyDescent="0.25">
      <c r="B107" s="451"/>
      <c r="C107" s="93"/>
      <c r="D107" s="93" t="s">
        <v>459</v>
      </c>
      <c r="E107" s="85"/>
      <c r="F107" s="86"/>
    </row>
    <row r="108" spans="2:6" ht="15" x14ac:dyDescent="0.25">
      <c r="B108" s="451"/>
      <c r="C108" s="93"/>
      <c r="D108" s="93" t="s">
        <v>460</v>
      </c>
      <c r="E108" s="85"/>
      <c r="F108" s="86"/>
    </row>
    <row r="109" spans="2:6" ht="15" x14ac:dyDescent="0.25">
      <c r="B109" s="451"/>
      <c r="C109" s="93"/>
      <c r="D109" s="101" t="s">
        <v>422</v>
      </c>
      <c r="E109" s="85"/>
      <c r="F109" s="86"/>
    </row>
    <row r="110" spans="2:6" ht="15" x14ac:dyDescent="0.25">
      <c r="B110" s="451"/>
      <c r="C110" s="93"/>
      <c r="D110" s="93" t="s">
        <v>461</v>
      </c>
      <c r="E110" s="85"/>
      <c r="F110" s="86"/>
    </row>
    <row r="111" spans="2:6" ht="15" x14ac:dyDescent="0.25">
      <c r="B111" s="451"/>
      <c r="C111" s="93"/>
      <c r="D111" s="101" t="s">
        <v>203</v>
      </c>
      <c r="E111" s="85"/>
      <c r="F111" s="86"/>
    </row>
    <row r="112" spans="2:6" ht="15" x14ac:dyDescent="0.25">
      <c r="B112" s="451"/>
      <c r="C112" s="93"/>
      <c r="D112" s="93" t="s">
        <v>204</v>
      </c>
      <c r="E112" s="85"/>
      <c r="F112" s="86"/>
    </row>
    <row r="113" spans="2:6" ht="15" x14ac:dyDescent="0.25">
      <c r="B113" s="451"/>
      <c r="C113" s="93"/>
      <c r="D113" s="101" t="s">
        <v>424</v>
      </c>
      <c r="E113" s="85"/>
      <c r="F113" s="86"/>
    </row>
    <row r="114" spans="2:6" ht="15" x14ac:dyDescent="0.25">
      <c r="B114" s="451"/>
      <c r="C114" s="93"/>
      <c r="D114" s="93" t="s">
        <v>462</v>
      </c>
      <c r="E114" s="85"/>
      <c r="F114" s="86"/>
    </row>
    <row r="115" spans="2:6" ht="15" x14ac:dyDescent="0.25">
      <c r="B115" s="451"/>
      <c r="C115" s="93"/>
      <c r="D115" s="93" t="s">
        <v>463</v>
      </c>
      <c r="E115" s="85"/>
      <c r="F115" s="86"/>
    </row>
    <row r="116" spans="2:6" ht="15" x14ac:dyDescent="0.25">
      <c r="B116" s="451"/>
      <c r="C116" s="93"/>
      <c r="D116" s="93" t="s">
        <v>464</v>
      </c>
      <c r="E116" s="85"/>
      <c r="F116" s="86"/>
    </row>
    <row r="117" spans="2:6" ht="15" x14ac:dyDescent="0.25">
      <c r="B117" s="451"/>
      <c r="C117" s="93"/>
      <c r="D117" s="93" t="s">
        <v>465</v>
      </c>
      <c r="E117" s="85"/>
      <c r="F117" s="86"/>
    </row>
    <row r="118" spans="2:6" ht="15" x14ac:dyDescent="0.25">
      <c r="B118" s="451"/>
      <c r="C118" s="93"/>
      <c r="D118" s="101" t="s">
        <v>426</v>
      </c>
      <c r="E118" s="85"/>
      <c r="F118" s="86"/>
    </row>
    <row r="119" spans="2:6" ht="15" x14ac:dyDescent="0.25">
      <c r="B119" s="451"/>
      <c r="C119" s="93"/>
      <c r="D119" s="93" t="s">
        <v>466</v>
      </c>
      <c r="E119" s="85"/>
      <c r="F119" s="86"/>
    </row>
    <row r="120" spans="2:6" ht="15" x14ac:dyDescent="0.25">
      <c r="B120" s="451"/>
      <c r="C120" s="93"/>
      <c r="D120" s="101" t="s">
        <v>428</v>
      </c>
      <c r="E120" s="85"/>
      <c r="F120" s="86"/>
    </row>
    <row r="121" spans="2:6" ht="15" x14ac:dyDescent="0.25">
      <c r="B121" s="451"/>
      <c r="C121" s="93"/>
      <c r="D121" s="93" t="s">
        <v>467</v>
      </c>
      <c r="E121" s="85"/>
      <c r="F121" s="86"/>
    </row>
    <row r="122" spans="2:6" ht="15" x14ac:dyDescent="0.25">
      <c r="B122" s="451"/>
      <c r="C122" s="93"/>
      <c r="D122" t="s">
        <v>468</v>
      </c>
      <c r="E122" s="85"/>
      <c r="F122" s="86"/>
    </row>
    <row r="123" spans="2:6" ht="15" x14ac:dyDescent="0.25">
      <c r="B123" s="451"/>
      <c r="C123" s="93"/>
      <c r="D123" s="101" t="s">
        <v>430</v>
      </c>
      <c r="E123" s="85"/>
      <c r="F123" s="86"/>
    </row>
    <row r="124" spans="2:6" ht="15" x14ac:dyDescent="0.25">
      <c r="B124" s="451"/>
      <c r="C124" s="93"/>
      <c r="D124" s="93" t="s">
        <v>469</v>
      </c>
      <c r="E124" s="85"/>
      <c r="F124" s="86"/>
    </row>
    <row r="125" spans="2:6" ht="15" x14ac:dyDescent="0.25">
      <c r="B125" s="451"/>
      <c r="C125" s="93"/>
      <c r="D125" s="101" t="s">
        <v>433</v>
      </c>
      <c r="E125" s="85"/>
      <c r="F125" s="86"/>
    </row>
    <row r="126" spans="2:6" ht="15" x14ac:dyDescent="0.25">
      <c r="B126" s="451"/>
      <c r="C126" s="93"/>
      <c r="D126" s="93" t="s">
        <v>470</v>
      </c>
      <c r="E126" s="85"/>
      <c r="F126" s="86"/>
    </row>
    <row r="127" spans="2:6" ht="15" x14ac:dyDescent="0.25">
      <c r="B127" s="451"/>
      <c r="C127" s="93"/>
      <c r="D127" s="93" t="s">
        <v>471</v>
      </c>
      <c r="E127" s="85"/>
      <c r="F127" s="86"/>
    </row>
    <row r="128" spans="2:6" ht="15" x14ac:dyDescent="0.25">
      <c r="B128" s="451"/>
      <c r="C128" s="93"/>
      <c r="D128" s="93" t="s">
        <v>472</v>
      </c>
      <c r="E128" s="85"/>
      <c r="F128" s="86"/>
    </row>
    <row r="129" spans="2:6" ht="15" x14ac:dyDescent="0.25">
      <c r="B129" s="451"/>
      <c r="C129" s="93"/>
      <c r="D129" s="101" t="s">
        <v>434</v>
      </c>
      <c r="E129" s="85"/>
      <c r="F129" s="86"/>
    </row>
    <row r="130" spans="2:6" ht="15" x14ac:dyDescent="0.25">
      <c r="B130" s="451"/>
      <c r="C130" s="93"/>
      <c r="D130" s="93" t="s">
        <v>473</v>
      </c>
      <c r="E130" s="85"/>
      <c r="F130" s="86"/>
    </row>
    <row r="131" spans="2:6" ht="15" x14ac:dyDescent="0.25">
      <c r="B131" s="451"/>
      <c r="C131" s="93"/>
      <c r="D131" s="93" t="s">
        <v>474</v>
      </c>
      <c r="E131" s="85"/>
      <c r="F131" s="86"/>
    </row>
    <row r="132" spans="2:6" ht="15" x14ac:dyDescent="0.25">
      <c r="B132" s="451"/>
      <c r="C132" s="93"/>
      <c r="D132" s="93" t="s">
        <v>475</v>
      </c>
      <c r="E132" s="85"/>
      <c r="F132" s="86"/>
    </row>
    <row r="133" spans="2:6" ht="15" x14ac:dyDescent="0.25">
      <c r="B133" s="451"/>
      <c r="C133" s="93"/>
      <c r="D133" s="93" t="s">
        <v>476</v>
      </c>
      <c r="E133" s="85"/>
      <c r="F133" s="86"/>
    </row>
    <row r="134" spans="2:6" ht="15" x14ac:dyDescent="0.25">
      <c r="B134" s="451"/>
      <c r="C134" s="93"/>
      <c r="D134" s="101" t="s">
        <v>186</v>
      </c>
      <c r="E134" s="85"/>
      <c r="F134" s="86"/>
    </row>
    <row r="135" spans="2:6" ht="15" x14ac:dyDescent="0.25">
      <c r="B135" s="451"/>
      <c r="C135" s="93"/>
      <c r="D135" s="93" t="s">
        <v>187</v>
      </c>
      <c r="E135" s="85"/>
      <c r="F135" s="86"/>
    </row>
    <row r="136" spans="2:6" ht="15" x14ac:dyDescent="0.25">
      <c r="B136" s="451"/>
      <c r="C136" s="93"/>
      <c r="D136" s="93" t="s">
        <v>477</v>
      </c>
      <c r="E136" s="85"/>
      <c r="F136" s="86"/>
    </row>
    <row r="137" spans="2:6" ht="15" x14ac:dyDescent="0.25">
      <c r="B137" s="451"/>
      <c r="C137" s="93"/>
      <c r="D137" s="93" t="s">
        <v>478</v>
      </c>
      <c r="E137" s="85"/>
      <c r="F137" s="86"/>
    </row>
    <row r="138" spans="2:6" ht="15" x14ac:dyDescent="0.25">
      <c r="B138" s="451"/>
      <c r="C138" s="93"/>
      <c r="D138" s="101" t="s">
        <v>438</v>
      </c>
      <c r="E138" s="85"/>
      <c r="F138" s="86"/>
    </row>
    <row r="139" spans="2:6" ht="15" x14ac:dyDescent="0.25">
      <c r="B139" s="451"/>
      <c r="C139" s="93"/>
      <c r="D139" s="93" t="s">
        <v>479</v>
      </c>
      <c r="E139" s="85"/>
      <c r="F139" s="86"/>
    </row>
    <row r="140" spans="2:6" ht="15" x14ac:dyDescent="0.25">
      <c r="B140" s="451"/>
      <c r="C140" s="93"/>
      <c r="D140" s="112" t="s">
        <v>480</v>
      </c>
      <c r="E140" s="85"/>
      <c r="F140" s="86"/>
    </row>
    <row r="141" spans="2:6" ht="15" x14ac:dyDescent="0.25">
      <c r="B141" s="451"/>
      <c r="C141" s="93"/>
      <c r="D141" s="93" t="s">
        <v>481</v>
      </c>
      <c r="E141" s="85"/>
      <c r="F141" s="86"/>
    </row>
    <row r="142" spans="2:6" ht="15" x14ac:dyDescent="0.25">
      <c r="B142" s="451"/>
      <c r="C142" s="93"/>
      <c r="D142" s="93" t="s">
        <v>482</v>
      </c>
      <c r="E142" s="85"/>
      <c r="F142" s="86"/>
    </row>
    <row r="143" spans="2:6" ht="15" x14ac:dyDescent="0.25">
      <c r="B143" s="451"/>
      <c r="C143" s="93"/>
      <c r="D143" s="93" t="s">
        <v>483</v>
      </c>
      <c r="E143" s="85"/>
      <c r="F143" s="86"/>
    </row>
    <row r="144" spans="2:6" ht="15" x14ac:dyDescent="0.25">
      <c r="B144" s="451"/>
      <c r="C144" s="93"/>
      <c r="D144" s="93" t="s">
        <v>484</v>
      </c>
      <c r="E144" s="85"/>
      <c r="F144" s="86"/>
    </row>
    <row r="145" spans="2:6" ht="15" x14ac:dyDescent="0.25">
      <c r="B145" s="451"/>
      <c r="C145" s="93"/>
      <c r="D145" s="93" t="s">
        <v>485</v>
      </c>
      <c r="E145" s="85"/>
      <c r="F145" s="86"/>
    </row>
    <row r="146" spans="2:6" ht="15" x14ac:dyDescent="0.25">
      <c r="B146" s="451"/>
      <c r="C146" s="93"/>
      <c r="D146" s="93" t="s">
        <v>486</v>
      </c>
      <c r="E146" s="85"/>
      <c r="F146" s="86"/>
    </row>
    <row r="147" spans="2:6" ht="15" x14ac:dyDescent="0.25">
      <c r="B147" s="451"/>
      <c r="C147" s="93"/>
      <c r="D147" s="93" t="s">
        <v>487</v>
      </c>
      <c r="E147" s="85"/>
      <c r="F147" s="86"/>
    </row>
    <row r="148" spans="2:6" ht="15" x14ac:dyDescent="0.25">
      <c r="B148" s="451"/>
      <c r="C148" s="93"/>
      <c r="D148" s="101" t="s">
        <v>440</v>
      </c>
      <c r="E148" s="85"/>
      <c r="F148" s="86"/>
    </row>
    <row r="149" spans="2:6" ht="15" x14ac:dyDescent="0.25">
      <c r="B149" s="451"/>
      <c r="C149" s="93"/>
      <c r="D149" s="93" t="s">
        <v>488</v>
      </c>
      <c r="E149" s="85"/>
      <c r="F149" s="86"/>
    </row>
    <row r="150" spans="2:6" ht="15" x14ac:dyDescent="0.25">
      <c r="B150" s="451"/>
      <c r="C150" s="93"/>
      <c r="D150" s="101" t="s">
        <v>443</v>
      </c>
      <c r="E150" s="85"/>
      <c r="F150" s="86"/>
    </row>
    <row r="151" spans="2:6" ht="15" x14ac:dyDescent="0.25">
      <c r="B151" s="451"/>
      <c r="C151" s="93"/>
      <c r="D151" s="93" t="s">
        <v>489</v>
      </c>
      <c r="E151" s="85"/>
      <c r="F151" s="86"/>
    </row>
    <row r="152" spans="2:6" ht="15" x14ac:dyDescent="0.25">
      <c r="B152" s="451"/>
      <c r="C152" s="93"/>
      <c r="D152" s="93" t="s">
        <v>490</v>
      </c>
      <c r="E152" s="85"/>
      <c r="F152" s="86"/>
    </row>
    <row r="153" spans="2:6" ht="15" x14ac:dyDescent="0.25">
      <c r="B153" s="451"/>
      <c r="C153" s="93"/>
      <c r="D153" s="93" t="s">
        <v>491</v>
      </c>
      <c r="E153" s="85"/>
      <c r="F153" s="86"/>
    </row>
    <row r="154" spans="2:6" ht="15" x14ac:dyDescent="0.25">
      <c r="B154" s="451"/>
      <c r="C154" s="93"/>
      <c r="D154" s="101" t="s">
        <v>445</v>
      </c>
      <c r="E154" s="85"/>
      <c r="F154" s="86"/>
    </row>
    <row r="155" spans="2:6" ht="15" x14ac:dyDescent="0.25">
      <c r="B155" s="451"/>
      <c r="C155" s="93"/>
      <c r="D155" s="93" t="s">
        <v>492</v>
      </c>
      <c r="E155" s="85"/>
      <c r="F155" s="86"/>
    </row>
    <row r="156" spans="2:6" ht="15" x14ac:dyDescent="0.25">
      <c r="B156" s="451"/>
      <c r="C156" s="93"/>
      <c r="D156" s="93" t="s">
        <v>493</v>
      </c>
      <c r="E156" s="85"/>
      <c r="F156" s="86"/>
    </row>
    <row r="157" spans="2:6" ht="15" x14ac:dyDescent="0.25">
      <c r="B157" s="451"/>
      <c r="C157" s="93"/>
      <c r="D157" s="101" t="s">
        <v>449</v>
      </c>
      <c r="E157" s="85"/>
      <c r="F157" s="86"/>
    </row>
    <row r="158" spans="2:6" ht="15" x14ac:dyDescent="0.25">
      <c r="B158" s="451"/>
      <c r="C158" s="93"/>
      <c r="D158" s="93" t="s">
        <v>494</v>
      </c>
      <c r="E158" s="85"/>
      <c r="F158" s="86"/>
    </row>
    <row r="159" spans="2:6" ht="15" x14ac:dyDescent="0.25">
      <c r="B159" s="451"/>
      <c r="C159" s="93"/>
      <c r="D159" s="93" t="s">
        <v>495</v>
      </c>
      <c r="E159" s="85"/>
      <c r="F159" s="86"/>
    </row>
    <row r="160" spans="2:6" ht="15" x14ac:dyDescent="0.25">
      <c r="B160" s="451"/>
      <c r="C160" s="93"/>
      <c r="D160" s="93" t="s">
        <v>496</v>
      </c>
      <c r="E160" s="85"/>
      <c r="F160" s="86"/>
    </row>
    <row r="161" spans="2:6" ht="15" x14ac:dyDescent="0.25">
      <c r="B161" s="451"/>
      <c r="C161" s="93"/>
      <c r="D161" s="93" t="s">
        <v>497</v>
      </c>
      <c r="E161" s="85"/>
      <c r="F161" s="86"/>
    </row>
    <row r="162" spans="2:6" ht="15" x14ac:dyDescent="0.25">
      <c r="B162" s="451"/>
      <c r="C162" s="93"/>
      <c r="D162" s="112" t="s">
        <v>498</v>
      </c>
      <c r="E162" s="85"/>
      <c r="F162" s="86"/>
    </row>
    <row r="163" spans="2:6" ht="15" x14ac:dyDescent="0.25">
      <c r="B163" s="451"/>
      <c r="C163" s="93"/>
      <c r="D163" s="93" t="s">
        <v>499</v>
      </c>
      <c r="E163" s="85"/>
      <c r="F163" s="86"/>
    </row>
    <row r="164" spans="2:6" ht="15" x14ac:dyDescent="0.25">
      <c r="B164" s="451"/>
      <c r="C164" s="93"/>
      <c r="D164" s="93" t="s">
        <v>500</v>
      </c>
      <c r="E164" s="85"/>
      <c r="F164" s="86"/>
    </row>
    <row r="165" spans="2:6" ht="15" x14ac:dyDescent="0.25">
      <c r="B165" s="451"/>
      <c r="C165" s="93"/>
      <c r="D165" s="101" t="s">
        <v>137</v>
      </c>
      <c r="E165" s="85"/>
      <c r="F165" s="86"/>
    </row>
    <row r="166" spans="2:6" ht="15" x14ac:dyDescent="0.25">
      <c r="B166" s="451"/>
      <c r="C166" s="93"/>
      <c r="D166" s="93" t="s">
        <v>138</v>
      </c>
      <c r="E166" s="85"/>
      <c r="F166" s="86"/>
    </row>
    <row r="167" spans="2:6" ht="15" x14ac:dyDescent="0.25">
      <c r="B167" s="451"/>
      <c r="C167" s="93"/>
      <c r="D167" s="93" t="s">
        <v>267</v>
      </c>
      <c r="E167" s="85"/>
      <c r="F167" s="86"/>
    </row>
    <row r="168" spans="2:6" ht="15" x14ac:dyDescent="0.25">
      <c r="B168" s="451"/>
      <c r="C168" s="93"/>
      <c r="D168" s="93" t="s">
        <v>501</v>
      </c>
      <c r="E168" s="85"/>
      <c r="F168" s="86"/>
    </row>
    <row r="169" spans="2:6" ht="15" x14ac:dyDescent="0.25">
      <c r="B169" s="451"/>
      <c r="C169" s="93"/>
      <c r="D169" s="101" t="s">
        <v>454</v>
      </c>
      <c r="E169" s="85"/>
      <c r="F169" s="86"/>
    </row>
    <row r="170" spans="2:6" ht="15" x14ac:dyDescent="0.25">
      <c r="B170" s="451"/>
      <c r="C170" s="93"/>
      <c r="D170" s="93" t="s">
        <v>502</v>
      </c>
      <c r="E170" s="85"/>
      <c r="F170" s="86"/>
    </row>
    <row r="171" spans="2:6" ht="15" x14ac:dyDescent="0.25">
      <c r="B171" s="451"/>
      <c r="C171" s="93"/>
      <c r="D171" s="101" t="s">
        <v>457</v>
      </c>
      <c r="E171" s="85"/>
      <c r="F171" s="86"/>
    </row>
    <row r="172" spans="2:6" ht="15" x14ac:dyDescent="0.25">
      <c r="B172" s="451"/>
      <c r="C172" s="93"/>
      <c r="D172" s="93" t="s">
        <v>503</v>
      </c>
      <c r="E172" s="85"/>
      <c r="F172" s="86"/>
    </row>
    <row r="173" spans="2:6" ht="15" x14ac:dyDescent="0.25">
      <c r="B173" s="451"/>
      <c r="C173" s="93"/>
      <c r="D173" s="93" t="s">
        <v>504</v>
      </c>
      <c r="E173" s="85"/>
      <c r="F173" s="86"/>
    </row>
    <row r="174" spans="2:6" ht="15" x14ac:dyDescent="0.25">
      <c r="B174" s="451"/>
      <c r="C174" s="93"/>
      <c r="D174" s="93" t="s">
        <v>505</v>
      </c>
      <c r="E174" s="85"/>
      <c r="F174" s="86"/>
    </row>
    <row r="175" spans="2:6" ht="15" x14ac:dyDescent="0.25">
      <c r="B175" s="451"/>
      <c r="C175" s="93"/>
      <c r="D175" s="93" t="s">
        <v>506</v>
      </c>
      <c r="E175" s="85"/>
      <c r="F175" s="86"/>
    </row>
    <row r="176" spans="2:6" ht="15" x14ac:dyDescent="0.25">
      <c r="B176" s="451"/>
      <c r="C176" s="93"/>
      <c r="D176" s="93" t="s">
        <v>507</v>
      </c>
      <c r="E176" s="85"/>
      <c r="F176" s="86"/>
    </row>
    <row r="177" spans="2:6" ht="15" x14ac:dyDescent="0.25">
      <c r="B177" s="451"/>
      <c r="C177" s="93"/>
      <c r="D177" s="101" t="s">
        <v>508</v>
      </c>
      <c r="E177" s="85"/>
      <c r="F177" s="86"/>
    </row>
    <row r="178" spans="2:6" ht="15" x14ac:dyDescent="0.25">
      <c r="B178" s="451"/>
      <c r="C178" s="93"/>
      <c r="D178" s="93" t="s">
        <v>509</v>
      </c>
      <c r="E178" s="85"/>
      <c r="F178" s="86"/>
    </row>
    <row r="179" spans="2:6" ht="15" x14ac:dyDescent="0.25">
      <c r="B179" s="451"/>
      <c r="C179" s="93"/>
      <c r="D179" s="93" t="s">
        <v>510</v>
      </c>
      <c r="E179" s="85"/>
      <c r="F179" s="86"/>
    </row>
    <row r="180" spans="2:6" ht="15" x14ac:dyDescent="0.25">
      <c r="B180" s="451"/>
      <c r="C180" s="93"/>
      <c r="D180" s="93" t="s">
        <v>511</v>
      </c>
      <c r="E180" s="85"/>
      <c r="F180" s="86"/>
    </row>
    <row r="181" spans="2:6" ht="15" x14ac:dyDescent="0.25">
      <c r="B181" s="451"/>
      <c r="C181" s="93"/>
      <c r="D181" s="85"/>
      <c r="E181" s="85"/>
      <c r="F181" s="86"/>
    </row>
    <row r="182" spans="2:6" ht="15.75" thickBot="1" x14ac:dyDescent="0.3">
      <c r="B182" s="452"/>
      <c r="C182" s="108"/>
      <c r="D182" s="108"/>
      <c r="E182" s="109"/>
      <c r="F182" s="110"/>
    </row>
    <row r="183" spans="2:6" ht="15" x14ac:dyDescent="0.25">
      <c r="B183" s="449" t="s">
        <v>512</v>
      </c>
      <c r="C183" s="94" t="s">
        <v>513</v>
      </c>
      <c r="D183" s="94"/>
      <c r="E183" s="113"/>
      <c r="F183" s="95"/>
    </row>
    <row r="184" spans="2:6" ht="15" x14ac:dyDescent="0.25">
      <c r="B184" s="451"/>
      <c r="C184" s="93" t="s">
        <v>514</v>
      </c>
      <c r="D184" s="93"/>
      <c r="E184" s="111"/>
      <c r="F184" s="86"/>
    </row>
    <row r="185" spans="2:6" ht="15" x14ac:dyDescent="0.25">
      <c r="B185" s="451"/>
      <c r="C185" s="93" t="s">
        <v>214</v>
      </c>
      <c r="D185" s="93"/>
      <c r="E185" s="111"/>
      <c r="F185" s="86"/>
    </row>
    <row r="186" spans="2:6" ht="15" x14ac:dyDescent="0.25">
      <c r="B186" s="451"/>
      <c r="C186" s="111" t="s">
        <v>515</v>
      </c>
      <c r="D186" s="93"/>
      <c r="E186" s="111"/>
      <c r="F186" s="86"/>
    </row>
    <row r="187" spans="2:6" ht="15" x14ac:dyDescent="0.25">
      <c r="B187" s="451"/>
      <c r="C187" s="111" t="s">
        <v>144</v>
      </c>
      <c r="D187" s="93"/>
      <c r="E187" s="111"/>
      <c r="F187" s="86"/>
    </row>
    <row r="188" spans="2:6" ht="15" x14ac:dyDescent="0.25">
      <c r="B188" s="451"/>
      <c r="C188" s="111" t="s">
        <v>238</v>
      </c>
      <c r="D188" s="93"/>
      <c r="E188" s="111"/>
      <c r="F188" s="86"/>
    </row>
    <row r="189" spans="2:6" ht="15" x14ac:dyDescent="0.25">
      <c r="B189" s="451"/>
      <c r="C189" s="111" t="s">
        <v>254</v>
      </c>
      <c r="D189" s="93"/>
      <c r="E189" s="111"/>
      <c r="F189" s="86"/>
    </row>
    <row r="190" spans="2:6" ht="15" x14ac:dyDescent="0.25">
      <c r="B190" s="451"/>
      <c r="C190" s="111" t="s">
        <v>224</v>
      </c>
      <c r="D190" s="93"/>
      <c r="E190" s="111"/>
      <c r="F190" s="86"/>
    </row>
    <row r="191" spans="2:6" ht="15" x14ac:dyDescent="0.25">
      <c r="B191" s="451"/>
      <c r="C191" s="111" t="s">
        <v>180</v>
      </c>
      <c r="D191" s="93"/>
      <c r="E191" s="111"/>
      <c r="F191" s="86"/>
    </row>
    <row r="192" spans="2:6" ht="15" x14ac:dyDescent="0.25">
      <c r="B192" s="451"/>
      <c r="C192" s="111" t="s">
        <v>516</v>
      </c>
      <c r="D192" s="93"/>
      <c r="E192" s="111"/>
      <c r="F192" s="86"/>
    </row>
    <row r="193" spans="2:6" ht="15" x14ac:dyDescent="0.25">
      <c r="B193" s="451"/>
      <c r="C193" s="111" t="s">
        <v>517</v>
      </c>
      <c r="D193" s="93"/>
      <c r="E193" s="111"/>
      <c r="F193" s="86"/>
    </row>
    <row r="194" spans="2:6" ht="30" x14ac:dyDescent="0.25">
      <c r="B194" s="451"/>
      <c r="C194" s="112" t="s">
        <v>518</v>
      </c>
      <c r="D194" s="93"/>
      <c r="E194" s="111"/>
      <c r="F194" s="86"/>
    </row>
    <row r="195" spans="2:6" ht="15" x14ac:dyDescent="0.25">
      <c r="B195" s="451"/>
      <c r="C195" s="111" t="s">
        <v>519</v>
      </c>
      <c r="D195" s="93"/>
      <c r="E195" s="111"/>
      <c r="F195" s="86"/>
    </row>
    <row r="196" spans="2:6" ht="15" x14ac:dyDescent="0.25">
      <c r="B196" s="451"/>
      <c r="C196" s="111" t="s">
        <v>106</v>
      </c>
      <c r="D196" s="93"/>
      <c r="E196" s="111"/>
      <c r="F196" s="86"/>
    </row>
    <row r="197" spans="2:6" ht="15.75" thickBot="1" x14ac:dyDescent="0.3">
      <c r="B197" s="452"/>
      <c r="C197" s="109" t="s">
        <v>134</v>
      </c>
      <c r="D197" s="108"/>
      <c r="E197" s="109"/>
      <c r="F197" s="88"/>
    </row>
    <row r="198" spans="2:6" ht="15" x14ac:dyDescent="0.25">
      <c r="B198" s="465" t="s">
        <v>520</v>
      </c>
      <c r="C198" s="113" t="s">
        <v>521</v>
      </c>
      <c r="D198" s="94" t="s">
        <v>522</v>
      </c>
      <c r="E198" s="117"/>
      <c r="F198" s="92"/>
    </row>
    <row r="199" spans="2:6" ht="15" x14ac:dyDescent="0.25">
      <c r="B199" s="466"/>
      <c r="C199" s="119" t="s">
        <v>119</v>
      </c>
      <c r="D199" s="120"/>
      <c r="E199" s="121"/>
      <c r="F199" s="92"/>
    </row>
    <row r="200" spans="2:6" ht="15.75" thickBot="1" x14ac:dyDescent="0.3">
      <c r="B200" s="467"/>
      <c r="C200" s="107" t="s">
        <v>134</v>
      </c>
      <c r="D200" s="97" t="s">
        <v>523</v>
      </c>
      <c r="E200" s="118"/>
      <c r="F200" s="92"/>
    </row>
    <row r="201" spans="2:6" ht="15" x14ac:dyDescent="0.25">
      <c r="B201" s="114"/>
      <c r="C201" s="115"/>
      <c r="D201" s="116"/>
      <c r="E201" s="115"/>
      <c r="F201" s="92"/>
    </row>
    <row r="202" spans="2:6" ht="15" x14ac:dyDescent="0.25">
      <c r="B202" s="114"/>
      <c r="C202" s="115"/>
      <c r="D202" s="116"/>
      <c r="E202" s="115"/>
      <c r="F202" s="92"/>
    </row>
    <row r="203" spans="2:6" ht="15" x14ac:dyDescent="0.25">
      <c r="B203" s="114"/>
      <c r="C203" s="115"/>
      <c r="D203" s="116"/>
      <c r="E203" s="115"/>
      <c r="F203" s="92"/>
    </row>
    <row r="204" spans="2:6" x14ac:dyDescent="0.2">
      <c r="C204" s="91"/>
      <c r="D204" s="92"/>
      <c r="E204" s="92"/>
    </row>
    <row r="205" spans="2:6" ht="15.75" x14ac:dyDescent="0.2">
      <c r="B205" s="448" t="s">
        <v>524</v>
      </c>
      <c r="C205" s="448"/>
      <c r="D205" s="448"/>
      <c r="E205" s="448"/>
      <c r="F205" s="448"/>
    </row>
  </sheetData>
  <mergeCells count="14">
    <mergeCell ref="B205:F205"/>
    <mergeCell ref="B29:B182"/>
    <mergeCell ref="B1:F1"/>
    <mergeCell ref="B3:D3"/>
    <mergeCell ref="B4:B8"/>
    <mergeCell ref="C4:C6"/>
    <mergeCell ref="C7:C8"/>
    <mergeCell ref="B9:B14"/>
    <mergeCell ref="C9:C10"/>
    <mergeCell ref="C11:C12"/>
    <mergeCell ref="C13:C14"/>
    <mergeCell ref="B15:B28"/>
    <mergeCell ref="B183:B197"/>
    <mergeCell ref="B198:B20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E19"/>
  <sheetViews>
    <sheetView topLeftCell="A4" workbookViewId="0">
      <selection activeCell="B13" sqref="B13:B19"/>
    </sheetView>
  </sheetViews>
  <sheetFormatPr baseColWidth="10" defaultColWidth="11.42578125" defaultRowHeight="15" x14ac:dyDescent="0.25"/>
  <sheetData>
    <row r="2" spans="2:5" x14ac:dyDescent="0.25">
      <c r="B2" t="s">
        <v>190</v>
      </c>
      <c r="E2" t="s">
        <v>525</v>
      </c>
    </row>
    <row r="3" spans="2:5" x14ac:dyDescent="0.25">
      <c r="B3" t="s">
        <v>526</v>
      </c>
      <c r="E3" t="s">
        <v>102</v>
      </c>
    </row>
    <row r="4" spans="2:5" x14ac:dyDescent="0.25">
      <c r="B4" t="s">
        <v>527</v>
      </c>
      <c r="E4" t="s">
        <v>195</v>
      </c>
    </row>
    <row r="5" spans="2:5" x14ac:dyDescent="0.25">
      <c r="B5" t="s">
        <v>120</v>
      </c>
    </row>
    <row r="8" spans="2:5" x14ac:dyDescent="0.25">
      <c r="B8" t="s">
        <v>528</v>
      </c>
    </row>
    <row r="9" spans="2:5" x14ac:dyDescent="0.25">
      <c r="B9" t="s">
        <v>529</v>
      </c>
    </row>
    <row r="10" spans="2:5" x14ac:dyDescent="0.25">
      <c r="B10" t="s">
        <v>126</v>
      </c>
    </row>
    <row r="13" spans="2:5" x14ac:dyDescent="0.25">
      <c r="B13" t="s">
        <v>530</v>
      </c>
    </row>
    <row r="14" spans="2:5" x14ac:dyDescent="0.25">
      <c r="B14" t="s">
        <v>531</v>
      </c>
    </row>
    <row r="15" spans="2:5" x14ac:dyDescent="0.25">
      <c r="B15" t="s">
        <v>179</v>
      </c>
    </row>
    <row r="16" spans="2:5" x14ac:dyDescent="0.25">
      <c r="B16" t="s">
        <v>532</v>
      </c>
    </row>
    <row r="17" spans="2:2" x14ac:dyDescent="0.25">
      <c r="B17" t="s">
        <v>533</v>
      </c>
    </row>
    <row r="18" spans="2:2" x14ac:dyDescent="0.25">
      <c r="B18" t="s">
        <v>534</v>
      </c>
    </row>
    <row r="19" spans="2:2" x14ac:dyDescent="0.25">
      <c r="B19" t="s">
        <v>105</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111</v>
      </c>
    </row>
    <row r="4" spans="1:1" x14ac:dyDescent="0.2">
      <c r="A4" s="2" t="s">
        <v>171</v>
      </c>
    </row>
    <row r="5" spans="1:1" x14ac:dyDescent="0.2">
      <c r="A5" s="2" t="s">
        <v>341</v>
      </c>
    </row>
    <row r="6" spans="1:1" x14ac:dyDescent="0.2">
      <c r="A6" s="2" t="s">
        <v>164</v>
      </c>
    </row>
    <row r="7" spans="1:1" x14ac:dyDescent="0.2">
      <c r="A7" s="2" t="s">
        <v>112</v>
      </c>
    </row>
    <row r="8" spans="1:1" x14ac:dyDescent="0.2">
      <c r="A8" s="2" t="s">
        <v>113</v>
      </c>
    </row>
    <row r="9" spans="1:1" x14ac:dyDescent="0.2">
      <c r="A9" s="2" t="s">
        <v>147</v>
      </c>
    </row>
    <row r="10" spans="1:1" x14ac:dyDescent="0.2">
      <c r="A10" s="2" t="s">
        <v>148</v>
      </c>
    </row>
    <row r="11" spans="1:1" x14ac:dyDescent="0.2">
      <c r="A11" s="2" t="s">
        <v>114</v>
      </c>
    </row>
    <row r="12" spans="1:1" x14ac:dyDescent="0.2">
      <c r="A12" s="2" t="s">
        <v>535</v>
      </c>
    </row>
    <row r="13" spans="1:1" x14ac:dyDescent="0.2">
      <c r="A13" s="2" t="s">
        <v>536</v>
      </c>
    </row>
    <row r="14" spans="1:1" x14ac:dyDescent="0.2">
      <c r="A14" s="2" t="s">
        <v>537</v>
      </c>
    </row>
    <row r="16" spans="1:1" x14ac:dyDescent="0.2">
      <c r="A16" s="2" t="s">
        <v>538</v>
      </c>
    </row>
    <row r="17" spans="1:1" x14ac:dyDescent="0.2">
      <c r="A17" s="2" t="s">
        <v>190</v>
      </c>
    </row>
    <row r="18" spans="1:1" x14ac:dyDescent="0.2">
      <c r="A18" s="2" t="s">
        <v>526</v>
      </c>
    </row>
    <row r="20" spans="1:1" x14ac:dyDescent="0.2">
      <c r="A20" s="2" t="s">
        <v>529</v>
      </c>
    </row>
    <row r="21" spans="1:1" x14ac:dyDescent="0.2">
      <c r="A21" s="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53</vt:i4>
      </vt:variant>
    </vt:vector>
  </HeadingPairs>
  <TitlesOfParts>
    <vt:vector size="62"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ADQUISICIÓN_DESARROLLO_Y_MANTENIMIENTO_DE_SISTEMAS</vt:lpstr>
      <vt:lpstr>Antes_de_asumir_el_empleo</vt:lpstr>
      <vt:lpstr>Instructivo!Área_de_impresión</vt:lpstr>
      <vt:lpstr>Áreas_seguras</vt:lpstr>
      <vt:lpstr>ASPECTOS_DE_SEGURIDAD_DE_LA_INFORMACIÓN_DE_LA_GESTIÓN_DE_CONTINUIDAD_DE_NEGOCIO</vt:lpstr>
      <vt:lpstr>ASPECTOS_DE_SEGURIDAD_DE_LA_INFORMACION_DE_LA_GESTIÓN_DE_CONTINUIDAD_DE_NEGOCIO.</vt:lpstr>
      <vt:lpstr>Clasificación_de_la_información</vt:lpstr>
      <vt:lpstr>Consideraciones_sobre_auditorías_de_sistemas_de_información</vt:lpstr>
      <vt:lpstr>Continuidad_de_seguridad_de_la_información</vt:lpstr>
      <vt:lpstr>CONTROL_DE_ACCESO</vt:lpstr>
      <vt:lpstr>Control_de_acceso_a_sistemas_y_aplicaciones</vt:lpstr>
      <vt:lpstr>Control_de_software_operacional</vt:lpstr>
      <vt:lpstr>Controles_criptográficos</vt:lpstr>
      <vt:lpstr>CONTROLG</vt:lpstr>
      <vt:lpstr>Copias_de_respaldo</vt:lpstr>
      <vt:lpstr>CRIPTOGRAFÍA</vt:lpstr>
      <vt:lpstr>CUMPLIMIENTO</vt:lpstr>
      <vt:lpstr>Cumplimiento_de_requisitos_legales_y_contractuales</vt:lpstr>
      <vt:lpstr>Datos_de_prueba</vt:lpstr>
      <vt:lpstr>Dispositivos_móviles_y_teletrabajo</vt:lpstr>
      <vt:lpstr>Durante_la_ejecución_del_empleo</vt:lpstr>
      <vt:lpstr>Equipos</vt:lpstr>
      <vt:lpstr>Gestión_de_acceso_de_usuarios</vt:lpstr>
      <vt:lpstr>GESTIÓN_DE_ACTIVOS</vt:lpstr>
      <vt:lpstr>GESTIÓN_DE_INCIDENTES_DE_SEGURIDAD_DE_LA_INFORMACIÓN</vt:lpstr>
      <vt:lpstr>Gestión_de_incidentes_y_mejoras_en_la_seguridad_de_la_información</vt:lpstr>
      <vt:lpstr>Gestión_de_la_prestación_de_servicios_de_proveedores</vt:lpstr>
      <vt:lpstr>Gestión_de_la_seguridad_de_las_redes</vt:lpstr>
      <vt:lpstr>Gestión_de_la_vulnerabilidad_técnica</vt:lpstr>
      <vt:lpstr>Manejo_de_medios</vt:lpstr>
      <vt:lpstr>NO_APLICA</vt:lpstr>
      <vt:lpstr>ORGANIZACIÓN_DE_LA_SEGURIDAD_DE_LA_INFORMACION</vt:lpstr>
      <vt:lpstr>Organización_interna</vt:lpstr>
      <vt:lpstr>Orientación_de_la_dirección_para_la_gestión_de_la_seguridad_de_la_información</vt:lpstr>
      <vt:lpstr>POLITICAS_DE_LA_SEGURIDAD_DE_LA_INFORMACIÓN</vt:lpstr>
      <vt:lpstr>Procedimientos_operacionales_y_responsabilidades</vt:lpstr>
      <vt:lpstr>Protección_contra_códigos_maliciosos</vt:lpstr>
      <vt:lpstr>Redundancias</vt:lpstr>
      <vt:lpstr>Registro_y_seguimiento</vt:lpstr>
      <vt:lpstr>RELACIONES_CON_LOS_PROVEEDORES</vt:lpstr>
      <vt:lpstr>Requisitos_de_seguridad_de_los_sistemas_de_información</vt:lpstr>
      <vt:lpstr>Requisitos_del_negocio_para_control_de_acceso</vt:lpstr>
      <vt:lpstr>Responsabilidad_por_los_activos</vt:lpstr>
      <vt:lpstr>Responsabilidades_de_los_usuarios</vt:lpstr>
      <vt:lpstr>Revisiones_de_seguridad_de_la_información</vt:lpstr>
      <vt:lpstr>Seguridad_de_la_información_en_las_relaciones_con_los_proveedores</vt:lpstr>
      <vt:lpstr>SEGURIDAD_DE_LAS_COMUNICACIONES</vt:lpstr>
      <vt:lpstr>SEGURIDAD_DE_LAS_OPERACIONES</vt:lpstr>
      <vt:lpstr>SEGURIDAD_DE_LOS_RECURSOS_HUMANOS</vt:lpstr>
      <vt:lpstr>Seguridad_en_los_procesos_de_desarrollo_y_de_soporte</vt:lpstr>
      <vt:lpstr>SEGURIDAD_FÍSICA_Y_DEL_ENTORNO</vt:lpstr>
      <vt:lpstr>Terminación_y_cambio_de_empleo</vt:lpstr>
      <vt:lpstr>Transferencia_de_información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Jose Hector Martinez Mina</cp:lastModifiedBy>
  <cp:revision/>
  <cp:lastPrinted>2023-04-25T19:40:39Z</cp:lastPrinted>
  <dcterms:created xsi:type="dcterms:W3CDTF">2020-03-24T23:12:47Z</dcterms:created>
  <dcterms:modified xsi:type="dcterms:W3CDTF">2023-04-25T19:40:49Z</dcterms:modified>
  <cp:category/>
  <cp:contentStatus/>
</cp:coreProperties>
</file>