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31-01-2022\"/>
    </mc:Choice>
  </mc:AlternateContent>
  <bookViews>
    <workbookView xWindow="0" yWindow="0" windowWidth="28800" windowHeight="11685" tabRatio="882" firstSheet="2" activeTab="2"/>
  </bookViews>
  <sheets>
    <sheet name="MAPA GESTION" sheetId="23" state="hidden" r:id="rId1"/>
    <sheet name="Hoja2" sheetId="25" state="hidden" r:id="rId2"/>
    <sheet name="MAPA CORRUPCION" sheetId="1" r:id="rId3"/>
    <sheet name="Instructivo" sheetId="20" state="hidden" r:id="rId4"/>
    <sheet name="Preguntas Corrupción" sheetId="26" state="hidden" r:id="rId5"/>
    <sheet name="MAPA RIESGOS SEGURIDAD INFORMAC" sheetId="24" state="hidden"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Opciones Tratamiento" sheetId="16" state="hidden" r:id="rId12"/>
    <sheet name="Hoja1" sheetId="11"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3">Instructivo!$A$2:$B$43</definedName>
    <definedName name="_xlnm.Print_Area" localSheetId="4">'Preguntas Corrupción'!$A$2:$G$54</definedName>
    <definedName name="_xlnm.Print_Area" localSheetId="9">'Tabla Impacto.'!$A$2:$R$223</definedName>
    <definedName name="_xlnm.Print_Area" localSheetId="8">'Tabla probabilidad'!$A$1:$C$19</definedName>
    <definedName name="_xlnm.Print_Area" localSheetId="10">'Tabla Valoración Controles'!$A$2:$E$17</definedName>
    <definedName name="CONTROLG">'[1]Tabla Valoración controles'!$C$28:$C$41</definedName>
  </definedNames>
  <calcPr calcId="162913"/>
  <pivotCaches>
    <pivotCache cacheId="3" r:id="rId26"/>
  </pivotCaches>
</workbook>
</file>

<file path=xl/calcChain.xml><?xml version="1.0" encoding="utf-8"?>
<calcChain xmlns="http://schemas.openxmlformats.org/spreadsheetml/2006/main">
  <c r="V21" i="23" l="1"/>
  <c r="S21" i="23"/>
  <c r="V20" i="23" l="1"/>
  <c r="S20" i="23"/>
  <c r="V19" i="23"/>
  <c r="S19" i="23"/>
  <c r="I20" i="23" l="1"/>
  <c r="J20" i="23" s="1"/>
  <c r="Z20" i="23" s="1"/>
  <c r="AB20" i="23" s="1"/>
  <c r="AA20" i="23" l="1"/>
  <c r="I18" i="23"/>
  <c r="J18" i="23" s="1"/>
  <c r="I17" i="23"/>
  <c r="J17" i="23" s="1"/>
  <c r="I16" i="23"/>
  <c r="J16" i="23" s="1"/>
  <c r="I14" i="23"/>
  <c r="J14" i="23" s="1"/>
  <c r="I13" i="23"/>
  <c r="J13" i="23" s="1"/>
  <c r="V12" i="23"/>
  <c r="S12" i="23"/>
  <c r="V42" i="23" l="1"/>
  <c r="S42" i="23"/>
  <c r="V41" i="23"/>
  <c r="S41" i="23"/>
  <c r="V44" i="23"/>
  <c r="S44" i="23"/>
  <c r="AD44" i="23" s="1"/>
  <c r="AC44" i="23" s="1"/>
  <c r="V43" i="23"/>
  <c r="S43" i="23"/>
  <c r="AD43" i="23" s="1"/>
  <c r="AC43" i="23" s="1"/>
  <c r="M44" i="23"/>
  <c r="I44" i="23"/>
  <c r="J44" i="23" s="1"/>
  <c r="M43" i="23"/>
  <c r="I43" i="23"/>
  <c r="J43" i="23" s="1"/>
  <c r="M42" i="23"/>
  <c r="N42" i="23" s="1"/>
  <c r="O42" i="23" s="1"/>
  <c r="I42" i="23"/>
  <c r="AD42" i="23" l="1"/>
  <c r="AC42" i="23" s="1"/>
  <c r="P42" i="23"/>
  <c r="J42" i="23"/>
  <c r="Z42" i="23" s="1"/>
  <c r="AB42" i="23" l="1"/>
  <c r="AA42" i="23"/>
  <c r="AE42" i="23" s="1"/>
  <c r="V40" i="23" l="1"/>
  <c r="S40" i="23"/>
  <c r="M40" i="23" l="1"/>
  <c r="N40" i="23" s="1"/>
  <c r="I40" i="23"/>
  <c r="J40" i="23" s="1"/>
  <c r="Z40" i="23" s="1"/>
  <c r="V39" i="23"/>
  <c r="S39" i="23"/>
  <c r="M39" i="23"/>
  <c r="N39" i="23" s="1"/>
  <c r="O39" i="23" s="1"/>
  <c r="I39" i="23"/>
  <c r="I38" i="23"/>
  <c r="J38" i="23" s="1"/>
  <c r="V37" i="23"/>
  <c r="S37" i="23"/>
  <c r="V32" i="23"/>
  <c r="S32" i="23"/>
  <c r="S31" i="23"/>
  <c r="V29" i="23"/>
  <c r="S29" i="23"/>
  <c r="S28" i="23"/>
  <c r="V27" i="23"/>
  <c r="S27" i="23"/>
  <c r="V26" i="23"/>
  <c r="S26" i="23"/>
  <c r="V22" i="23"/>
  <c r="S22" i="23"/>
  <c r="V7" i="23"/>
  <c r="S7" i="23"/>
  <c r="V15" i="23"/>
  <c r="S15" i="23"/>
  <c r="M37" i="23"/>
  <c r="N37" i="23" s="1"/>
  <c r="M36" i="23"/>
  <c r="I36" i="23"/>
  <c r="J36" i="23" s="1"/>
  <c r="I37" i="23"/>
  <c r="J37" i="23" s="1"/>
  <c r="M35" i="23"/>
  <c r="AB40" i="23" l="1"/>
  <c r="AA40" i="23"/>
  <c r="P40" i="23"/>
  <c r="O40" i="23"/>
  <c r="AD40" i="23" s="1"/>
  <c r="AC40" i="23" s="1"/>
  <c r="AD39" i="23"/>
  <c r="AC39" i="23" s="1"/>
  <c r="P39" i="23"/>
  <c r="J39" i="23"/>
  <c r="Z39" i="23" s="1"/>
  <c r="AA39" i="23" s="1"/>
  <c r="Z37" i="23"/>
  <c r="O37" i="23"/>
  <c r="AD37" i="23" s="1"/>
  <c r="AC37" i="23" s="1"/>
  <c r="P37" i="23"/>
  <c r="M34" i="23"/>
  <c r="I34" i="23"/>
  <c r="J34" i="23" s="1"/>
  <c r="M33" i="23"/>
  <c r="I33" i="23"/>
  <c r="J33" i="23" s="1"/>
  <c r="AE40" i="23" l="1"/>
  <c r="AB39" i="23"/>
  <c r="AE39" i="23"/>
  <c r="AB37" i="23"/>
  <c r="AA37" i="23"/>
  <c r="AE37" i="23" s="1"/>
  <c r="V28" i="23"/>
  <c r="AD28" i="23"/>
  <c r="AC28" i="23" s="1"/>
  <c r="I28" i="23"/>
  <c r="J28" i="23" s="1"/>
  <c r="S30" i="23"/>
  <c r="V30" i="23"/>
  <c r="I30" i="23"/>
  <c r="J30" i="23" s="1"/>
  <c r="I29" i="23"/>
  <c r="J29" i="23" s="1"/>
  <c r="Z29" i="23" s="1"/>
  <c r="AA29" i="23" s="1"/>
  <c r="M28" i="23"/>
  <c r="M29" i="23"/>
  <c r="M30" i="23"/>
  <c r="AB29" i="23" l="1"/>
  <c r="Z30" i="23" s="1"/>
  <c r="Z28" i="23"/>
  <c r="N29" i="23"/>
  <c r="AB28" i="23" l="1"/>
  <c r="AA28" i="23"/>
  <c r="AE28" i="23" s="1"/>
  <c r="AB30" i="23"/>
  <c r="AA30" i="23"/>
  <c r="P29" i="23"/>
  <c r="O29" i="23"/>
  <c r="AD29" i="23" s="1"/>
  <c r="AC29" i="23" s="1"/>
  <c r="AE29" i="23" s="1"/>
  <c r="V38" i="23" l="1"/>
  <c r="S38" i="23"/>
  <c r="V36" i="23"/>
  <c r="S36" i="23"/>
  <c r="V35" i="23"/>
  <c r="S35" i="23"/>
  <c r="V34" i="23"/>
  <c r="S34" i="23"/>
  <c r="V33" i="23"/>
  <c r="S33" i="23"/>
  <c r="V31" i="23"/>
  <c r="V25" i="23"/>
  <c r="S25" i="23"/>
  <c r="V24" i="23"/>
  <c r="S24" i="23"/>
  <c r="V23" i="23"/>
  <c r="S23" i="23"/>
  <c r="V18" i="23"/>
  <c r="S18" i="23"/>
  <c r="V17" i="23"/>
  <c r="S17" i="23"/>
  <c r="V16" i="23"/>
  <c r="S16" i="23"/>
  <c r="V14" i="23"/>
  <c r="S14" i="23"/>
  <c r="V13" i="23"/>
  <c r="S13" i="23"/>
  <c r="V11" i="23"/>
  <c r="S11" i="23"/>
  <c r="V10" i="23"/>
  <c r="S10" i="23"/>
  <c r="V9" i="23"/>
  <c r="S9" i="23"/>
  <c r="V8" i="23"/>
  <c r="S8" i="23"/>
  <c r="V6" i="23"/>
  <c r="M22" i="23"/>
  <c r="N22" i="23" s="1"/>
  <c r="O22" i="23" s="1"/>
  <c r="AD22" i="23" s="1"/>
  <c r="AC22" i="23" s="1"/>
  <c r="I25" i="23"/>
  <c r="J25" i="23" s="1"/>
  <c r="I24" i="23"/>
  <c r="J24" i="23" s="1"/>
  <c r="I23" i="23"/>
  <c r="J23" i="23" s="1"/>
  <c r="I11" i="23" l="1"/>
  <c r="J11" i="23" s="1"/>
  <c r="I6" i="23" l="1"/>
  <c r="J6" i="23" s="1"/>
  <c r="AD15" i="1" l="1"/>
  <c r="J18" i="1" l="1"/>
  <c r="T18" i="1"/>
  <c r="W18" i="1"/>
  <c r="N18" i="1"/>
  <c r="O18" i="1" l="1"/>
  <c r="K18" i="1"/>
  <c r="J17" i="1"/>
  <c r="K17" i="1" s="1"/>
  <c r="J15" i="1"/>
  <c r="K15" i="1" s="1"/>
  <c r="J12" i="1"/>
  <c r="K12" i="1" s="1"/>
  <c r="J11" i="1"/>
  <c r="K11" i="1" s="1"/>
  <c r="J9" i="1"/>
  <c r="K9" i="1" s="1"/>
  <c r="J8" i="1"/>
  <c r="K8" i="1" s="1"/>
  <c r="J7" i="1"/>
  <c r="K7" i="1" s="1"/>
  <c r="P18" i="1" l="1"/>
  <c r="AE18" i="1" s="1"/>
  <c r="AD18" i="1" s="1"/>
  <c r="Q18" i="1"/>
  <c r="W17" i="1"/>
  <c r="T17" i="1"/>
  <c r="W16" i="1"/>
  <c r="T16" i="1"/>
  <c r="N14" i="1" l="1"/>
  <c r="N10" i="1"/>
  <c r="B23" i="26"/>
  <c r="F4" i="26"/>
  <c r="D23" i="26" s="1"/>
  <c r="F3" i="26"/>
  <c r="G3" i="26" s="1"/>
  <c r="F2" i="26"/>
  <c r="G2" i="26" s="1"/>
  <c r="I26" i="23" l="1"/>
  <c r="J26" i="23" s="1"/>
  <c r="Z26" i="23" s="1"/>
  <c r="N13" i="1"/>
  <c r="AB26" i="23" l="1"/>
  <c r="AA26" i="23"/>
  <c r="W15" i="1"/>
  <c r="T15" i="1"/>
  <c r="W14" i="1"/>
  <c r="T14" i="1"/>
  <c r="J14" i="1"/>
  <c r="W13" i="1"/>
  <c r="T13" i="1"/>
  <c r="J13" i="1"/>
  <c r="K13" i="1" s="1"/>
  <c r="W12" i="1"/>
  <c r="T12" i="1"/>
  <c r="W11" i="1"/>
  <c r="T11" i="1"/>
  <c r="W10" i="1"/>
  <c r="T10" i="1"/>
  <c r="J10" i="1"/>
  <c r="W9" i="1"/>
  <c r="T9" i="1"/>
  <c r="W8" i="1"/>
  <c r="T8" i="1"/>
  <c r="W7" i="1"/>
  <c r="T7" i="1"/>
  <c r="W6" i="1"/>
  <c r="T6" i="1"/>
  <c r="J6" i="1"/>
  <c r="W5" i="1"/>
  <c r="T5" i="1"/>
  <c r="J5" i="1"/>
  <c r="K5" i="1" s="1"/>
  <c r="N11" i="1"/>
  <c r="O14" i="1" l="1"/>
  <c r="P14" i="1" s="1"/>
  <c r="O13" i="1"/>
  <c r="K14" i="1"/>
  <c r="AA14" i="1" s="1"/>
  <c r="AC14" i="1" s="1"/>
  <c r="K10" i="1"/>
  <c r="AA10" i="1" s="1"/>
  <c r="AA13" i="1"/>
  <c r="K6" i="1"/>
  <c r="AA6" i="1" s="1"/>
  <c r="AA5" i="1"/>
  <c r="N12" i="1"/>
  <c r="AC10" i="1" l="1"/>
  <c r="AA11" i="1" s="1"/>
  <c r="AB10" i="1"/>
  <c r="AA15" i="1"/>
  <c r="AB14" i="1"/>
  <c r="AC6" i="1"/>
  <c r="AA7" i="1" s="1"/>
  <c r="AB6" i="1"/>
  <c r="Q14" i="1"/>
  <c r="AC13" i="1"/>
  <c r="AB13" i="1"/>
  <c r="AB5" i="1"/>
  <c r="AC5" i="1"/>
  <c r="P13" i="1"/>
  <c r="Q13" i="1"/>
  <c r="AE13" i="1" l="1"/>
  <c r="AD13" i="1" s="1"/>
  <c r="AF13" i="1" s="1"/>
  <c r="AC15" i="1"/>
  <c r="AB15" i="1"/>
  <c r="AC11" i="1"/>
  <c r="AA12" i="1" s="1"/>
  <c r="AB11" i="1"/>
  <c r="AC7" i="1"/>
  <c r="AA8" i="1" s="1"/>
  <c r="AB7" i="1"/>
  <c r="AC12" i="1" l="1"/>
  <c r="AB12" i="1"/>
  <c r="AB8" i="1"/>
  <c r="AC8" i="1"/>
  <c r="AA9" i="1" s="1"/>
  <c r="AC9" i="1" l="1"/>
  <c r="AB9" i="1"/>
  <c r="N5" i="1" l="1"/>
  <c r="O5" i="1" s="1"/>
  <c r="O10" i="1"/>
  <c r="N6" i="1"/>
  <c r="O6" i="1" s="1"/>
  <c r="P6" i="1" l="1"/>
  <c r="AE6" i="1" s="1"/>
  <c r="Q6" i="1"/>
  <c r="P10" i="1"/>
  <c r="AE10" i="1" s="1"/>
  <c r="AD10" i="1" s="1"/>
  <c r="Q10" i="1"/>
  <c r="P5" i="1"/>
  <c r="AE5" i="1" s="1"/>
  <c r="AD5" i="1" s="1"/>
  <c r="AF5" i="1" s="1"/>
  <c r="Q5" i="1"/>
  <c r="AF10" i="1" l="1"/>
  <c r="AE11" i="1"/>
  <c r="AD11" i="1" s="1"/>
  <c r="AD6" i="1"/>
  <c r="AF6" i="1" s="1"/>
  <c r="AE7" i="1"/>
  <c r="AD7" i="1" l="1"/>
  <c r="AF7" i="1" s="1"/>
  <c r="AE8" i="1"/>
  <c r="AF11" i="1"/>
  <c r="AE12" i="1"/>
  <c r="AD12" i="1" l="1"/>
  <c r="AF12" i="1" s="1"/>
  <c r="AD8" i="1"/>
  <c r="AF8" i="1" s="1"/>
  <c r="AE9" i="1"/>
  <c r="AD9" i="1" s="1"/>
  <c r="AF9" i="1" s="1"/>
  <c r="G38" i="25" l="1"/>
  <c r="G37" i="25"/>
  <c r="G36" i="25"/>
  <c r="G23" i="25"/>
  <c r="G24" i="25"/>
  <c r="G22" i="25"/>
  <c r="M41" i="23" l="1"/>
  <c r="N41" i="23" s="1"/>
  <c r="I41" i="23"/>
  <c r="P41" i="23" l="1"/>
  <c r="O41" i="23"/>
  <c r="AD41" i="23" s="1"/>
  <c r="AC41" i="23" s="1"/>
  <c r="J41" i="23"/>
  <c r="Z41" i="23" s="1"/>
  <c r="AB41" i="23" l="1"/>
  <c r="Z43" i="23" s="1"/>
  <c r="AA41" i="23"/>
  <c r="AE41" i="23" s="1"/>
  <c r="M38" i="23"/>
  <c r="AA43" i="23" l="1"/>
  <c r="AE43" i="23" s="1"/>
  <c r="AB43" i="23"/>
  <c r="Z44" i="23" s="1"/>
  <c r="O38" i="23"/>
  <c r="AD38" i="23" s="1"/>
  <c r="AC38" i="23" s="1"/>
  <c r="P38" i="23"/>
  <c r="Z38" i="23"/>
  <c r="AB44" i="23" l="1"/>
  <c r="AA44" i="23"/>
  <c r="AE44" i="23" s="1"/>
  <c r="AA38" i="23"/>
  <c r="AE38" i="23" s="1"/>
  <c r="AB38" i="23"/>
  <c r="I35" i="23" l="1"/>
  <c r="J35" i="23" s="1"/>
  <c r="P35" i="23" l="1"/>
  <c r="Z35" i="23"/>
  <c r="AB35" i="23" s="1"/>
  <c r="Z36" i="23" s="1"/>
  <c r="AD35" i="23"/>
  <c r="M32" i="23"/>
  <c r="N32" i="23" s="1"/>
  <c r="I32" i="23"/>
  <c r="J32" i="23" s="1"/>
  <c r="Z32" i="23" s="1"/>
  <c r="AB32" i="23" l="1"/>
  <c r="AA32" i="23"/>
  <c r="O32" i="23"/>
  <c r="AD32" i="23" s="1"/>
  <c r="AC32" i="23" s="1"/>
  <c r="AE32" i="23" s="1"/>
  <c r="P32" i="23"/>
  <c r="AA35" i="23"/>
  <c r="AD36" i="23"/>
  <c r="AC35" i="23"/>
  <c r="AB36" i="23"/>
  <c r="AA36" i="23"/>
  <c r="AE35" i="23" l="1"/>
  <c r="AC36" i="23"/>
  <c r="AE36" i="23" s="1"/>
  <c r="Z33" i="23"/>
  <c r="AB33" i="23" s="1"/>
  <c r="Z34" i="23" s="1"/>
  <c r="AD33" i="23"/>
  <c r="AA33" i="23" l="1"/>
  <c r="AB34" i="23"/>
  <c r="AA34" i="23"/>
  <c r="AD34" i="23"/>
  <c r="AC34" i="23" s="1"/>
  <c r="AC33" i="23"/>
  <c r="AE33" i="23" l="1"/>
  <c r="AE34" i="23"/>
  <c r="I31" i="23" l="1"/>
  <c r="J31" i="23" s="1"/>
  <c r="I27" i="23"/>
  <c r="J27" i="23" s="1"/>
  <c r="Z27" i="23" s="1"/>
  <c r="AA27" i="23" l="1"/>
  <c r="AB27" i="23"/>
  <c r="Z31" i="23"/>
  <c r="AA31" i="23" s="1"/>
  <c r="AB31" i="23" l="1"/>
  <c r="M31" i="23"/>
  <c r="P31" i="23" l="1"/>
  <c r="AD31" i="23"/>
  <c r="AC31" i="23" l="1"/>
  <c r="AE31" i="23" s="1"/>
  <c r="I21" i="23" l="1"/>
  <c r="J21" i="23" s="1"/>
  <c r="Z21" i="23" s="1"/>
  <c r="AB21" i="23" l="1"/>
  <c r="AA21" i="23"/>
  <c r="I19" i="23"/>
  <c r="J19" i="23" s="1"/>
  <c r="Z19" i="23" s="1"/>
  <c r="AA19" i="23" l="1"/>
  <c r="AB19" i="23"/>
  <c r="I22" i="23"/>
  <c r="M27" i="23"/>
  <c r="N27" i="23" l="1"/>
  <c r="J22" i="23"/>
  <c r="Z22" i="23" s="1"/>
  <c r="P22" i="23"/>
  <c r="AA22" i="23" l="1"/>
  <c r="AE22" i="23" s="1"/>
  <c r="AB22" i="23"/>
  <c r="P27" i="23"/>
  <c r="O27" i="23"/>
  <c r="AD27" i="23" s="1"/>
  <c r="AC27" i="23" s="1"/>
  <c r="AE27" i="23" s="1"/>
  <c r="AB63" i="24" l="1"/>
  <c r="W63" i="24"/>
  <c r="AB62" i="24"/>
  <c r="W62" i="24"/>
  <c r="AB61" i="24"/>
  <c r="W61" i="24"/>
  <c r="AB60" i="24"/>
  <c r="W60" i="24"/>
  <c r="AB59" i="24"/>
  <c r="W59" i="24"/>
  <c r="AB58" i="24"/>
  <c r="W58" i="24"/>
  <c r="L58" i="24"/>
  <c r="M58" i="24" s="1"/>
  <c r="AB57" i="24"/>
  <c r="W57" i="24"/>
  <c r="AB56" i="24"/>
  <c r="W56" i="24"/>
  <c r="AB55" i="24"/>
  <c r="W55" i="24"/>
  <c r="AB54" i="24"/>
  <c r="W54" i="24"/>
  <c r="AB53" i="24"/>
  <c r="W53" i="24"/>
  <c r="AB52" i="24"/>
  <c r="AJ52" i="24" s="1"/>
  <c r="AI52" i="24" s="1"/>
  <c r="W52" i="24"/>
  <c r="L52" i="24"/>
  <c r="AB51" i="24"/>
  <c r="W51" i="24"/>
  <c r="AB50" i="24"/>
  <c r="W50" i="24"/>
  <c r="AB49" i="24"/>
  <c r="W49" i="24"/>
  <c r="AB48" i="24"/>
  <c r="W48" i="24"/>
  <c r="AB47" i="24"/>
  <c r="W47" i="24"/>
  <c r="AB46" i="24"/>
  <c r="W46" i="24"/>
  <c r="L46" i="24"/>
  <c r="M46" i="24" s="1"/>
  <c r="AB45" i="24"/>
  <c r="W45" i="24"/>
  <c r="AB44" i="24"/>
  <c r="W44" i="24"/>
  <c r="AB43" i="24"/>
  <c r="W43" i="24"/>
  <c r="AB42" i="24"/>
  <c r="W42" i="24"/>
  <c r="AB41" i="24"/>
  <c r="W41" i="24"/>
  <c r="AB40" i="24"/>
  <c r="AJ40" i="24" s="1"/>
  <c r="AI40" i="24" s="1"/>
  <c r="W40" i="24"/>
  <c r="L40" i="24"/>
  <c r="AB39" i="24"/>
  <c r="W39" i="24"/>
  <c r="AB38" i="24"/>
  <c r="W38" i="24"/>
  <c r="AB37" i="24"/>
  <c r="W37" i="24"/>
  <c r="AB36" i="24"/>
  <c r="W36" i="24"/>
  <c r="AB35" i="24"/>
  <c r="W35" i="24"/>
  <c r="AB34" i="24"/>
  <c r="AA34" i="24" s="1"/>
  <c r="AH34" i="24" s="1"/>
  <c r="W34" i="24"/>
  <c r="L34" i="24"/>
  <c r="M34" i="24" s="1"/>
  <c r="AB33" i="24"/>
  <c r="W33" i="24"/>
  <c r="AB32" i="24"/>
  <c r="W32" i="24"/>
  <c r="AB31" i="24"/>
  <c r="W31" i="24"/>
  <c r="AB30" i="24"/>
  <c r="W30" i="24"/>
  <c r="AB29" i="24"/>
  <c r="W29" i="24"/>
  <c r="AB28" i="24"/>
  <c r="W28" i="24"/>
  <c r="L28" i="24"/>
  <c r="AB27" i="24"/>
  <c r="W27" i="24"/>
  <c r="AB26" i="24"/>
  <c r="W26" i="24"/>
  <c r="AB25" i="24"/>
  <c r="W25" i="24"/>
  <c r="AB24" i="24"/>
  <c r="W24" i="24"/>
  <c r="AB23" i="24"/>
  <c r="W23" i="24"/>
  <c r="AB22" i="24"/>
  <c r="AA22" i="24" s="1"/>
  <c r="AH22" i="24" s="1"/>
  <c r="W22" i="24"/>
  <c r="L22" i="24"/>
  <c r="M22" i="24" s="1"/>
  <c r="AB21" i="24"/>
  <c r="W21" i="24"/>
  <c r="AB20" i="24"/>
  <c r="W20" i="24"/>
  <c r="AB19" i="24"/>
  <c r="W19" i="24"/>
  <c r="AB18" i="24"/>
  <c r="W18" i="24"/>
  <c r="AB17" i="24"/>
  <c r="W17" i="24"/>
  <c r="AB16" i="24"/>
  <c r="W16" i="24"/>
  <c r="L16" i="24"/>
  <c r="AB15" i="24"/>
  <c r="W15" i="24"/>
  <c r="AB14" i="24"/>
  <c r="W14" i="24"/>
  <c r="AB13" i="24"/>
  <c r="W13" i="24"/>
  <c r="AB12" i="24"/>
  <c r="W12" i="24"/>
  <c r="AB11" i="24"/>
  <c r="W11" i="24"/>
  <c r="AB10" i="24"/>
  <c r="AA10" i="24" s="1"/>
  <c r="AH10" i="24" s="1"/>
  <c r="W10" i="24"/>
  <c r="L10" i="24"/>
  <c r="M10" i="24" s="1"/>
  <c r="AB9" i="24"/>
  <c r="W9" i="24"/>
  <c r="AB8" i="24"/>
  <c r="W8" i="24"/>
  <c r="AB7" i="24"/>
  <c r="W7" i="24"/>
  <c r="AB6" i="24"/>
  <c r="W6" i="24"/>
  <c r="AB5" i="24"/>
  <c r="W5" i="24"/>
  <c r="AB4" i="24"/>
  <c r="W4" i="24"/>
  <c r="L4" i="24"/>
  <c r="M4" i="24" s="1"/>
  <c r="O44" i="24"/>
  <c r="O25" i="24"/>
  <c r="O8" i="24"/>
  <c r="O19" i="24"/>
  <c r="O27" i="24"/>
  <c r="O5" i="24"/>
  <c r="O61" i="24"/>
  <c r="O53" i="24"/>
  <c r="O36" i="24"/>
  <c r="O26" i="24"/>
  <c r="O37" i="24"/>
  <c r="O15" i="24"/>
  <c r="O33" i="24"/>
  <c r="O56" i="24"/>
  <c r="O39" i="24"/>
  <c r="O17" i="24"/>
  <c r="O29" i="24"/>
  <c r="O55" i="24"/>
  <c r="O9" i="24"/>
  <c r="O7" i="24"/>
  <c r="O38" i="24"/>
  <c r="O48" i="24"/>
  <c r="O24" i="24"/>
  <c r="O42" i="24"/>
  <c r="O13" i="24"/>
  <c r="O51" i="24"/>
  <c r="O35" i="24"/>
  <c r="O54" i="24"/>
  <c r="O59" i="24"/>
  <c r="O14" i="24"/>
  <c r="O49" i="24"/>
  <c r="O47" i="24"/>
  <c r="O45" i="24"/>
  <c r="O62" i="24"/>
  <c r="O32" i="24"/>
  <c r="O60" i="24"/>
  <c r="O11" i="24"/>
  <c r="O63" i="24"/>
  <c r="O50" i="24"/>
  <c r="O43" i="24"/>
  <c r="O21" i="24"/>
  <c r="O18" i="24"/>
  <c r="O41" i="24"/>
  <c r="O31" i="24"/>
  <c r="O57" i="24"/>
  <c r="O30" i="24"/>
  <c r="O6" i="24"/>
  <c r="O20" i="24"/>
  <c r="O12" i="24"/>
  <c r="O23" i="24"/>
  <c r="AA29" i="24" l="1"/>
  <c r="AH29" i="24" s="1"/>
  <c r="AJ36" i="24"/>
  <c r="AI36" i="24" s="1"/>
  <c r="AA4" i="24"/>
  <c r="AA42" i="24"/>
  <c r="AG42" i="24" s="1"/>
  <c r="AJ19" i="24"/>
  <c r="AI19" i="24" s="1"/>
  <c r="AA37" i="24"/>
  <c r="AG37" i="24" s="1"/>
  <c r="AA59" i="24"/>
  <c r="AG59" i="24" s="1"/>
  <c r="AA63" i="24"/>
  <c r="AG63" i="24" s="1"/>
  <c r="AJ26" i="24"/>
  <c r="AI26" i="24" s="1"/>
  <c r="AA5" i="24"/>
  <c r="AG5" i="24" s="1"/>
  <c r="AJ12" i="24"/>
  <c r="AI12" i="24" s="1"/>
  <c r="AA17" i="24"/>
  <c r="AH17" i="24" s="1"/>
  <c r="AJ21" i="24"/>
  <c r="AI21" i="24" s="1"/>
  <c r="AA32" i="24"/>
  <c r="AG32" i="24" s="1"/>
  <c r="AA7" i="24"/>
  <c r="AG7" i="24" s="1"/>
  <c r="AJ43" i="24"/>
  <c r="AI43" i="24" s="1"/>
  <c r="AA54" i="24"/>
  <c r="AG54" i="24" s="1"/>
  <c r="AJ6" i="24"/>
  <c r="AI6" i="24" s="1"/>
  <c r="AA20" i="24"/>
  <c r="AG20" i="24" s="1"/>
  <c r="AJ31" i="24"/>
  <c r="AI31" i="24" s="1"/>
  <c r="AJ48" i="24"/>
  <c r="AI48" i="24" s="1"/>
  <c r="AA13" i="24"/>
  <c r="AG13" i="24" s="1"/>
  <c r="AJ24" i="24"/>
  <c r="AI24" i="24" s="1"/>
  <c r="AA58" i="24"/>
  <c r="AH58" i="24" s="1"/>
  <c r="AA25" i="24"/>
  <c r="AG25" i="24" s="1"/>
  <c r="AA8" i="24"/>
  <c r="AG8" i="24" s="1"/>
  <c r="AA47" i="24"/>
  <c r="AG47" i="24" s="1"/>
  <c r="AA51" i="24"/>
  <c r="AG51" i="24" s="1"/>
  <c r="AJ15" i="24"/>
  <c r="AI15" i="24" s="1"/>
  <c r="AA26" i="24"/>
  <c r="AH26" i="24" s="1"/>
  <c r="AA21" i="24"/>
  <c r="AH21" i="24" s="1"/>
  <c r="AJ39" i="24"/>
  <c r="AI39" i="24" s="1"/>
  <c r="AA43" i="24"/>
  <c r="AH43" i="24" s="1"/>
  <c r="AA48" i="24"/>
  <c r="AH48" i="24" s="1"/>
  <c r="AJ63" i="24"/>
  <c r="AI63" i="24" s="1"/>
  <c r="AJ9" i="24"/>
  <c r="AI9" i="24" s="1"/>
  <c r="AA9" i="24"/>
  <c r="AH9" i="24" s="1"/>
  <c r="AJ14" i="24"/>
  <c r="AI14" i="24" s="1"/>
  <c r="AA14" i="24"/>
  <c r="AH14" i="24" s="1"/>
  <c r="AJ27" i="24"/>
  <c r="AI27" i="24" s="1"/>
  <c r="AJ33" i="24"/>
  <c r="AI33" i="24" s="1"/>
  <c r="AA33" i="24"/>
  <c r="AH33" i="24" s="1"/>
  <c r="AJ38" i="24"/>
  <c r="AI38" i="24" s="1"/>
  <c r="AA38" i="24"/>
  <c r="AH38" i="24" s="1"/>
  <c r="AA46" i="24"/>
  <c r="AH46" i="24" s="1"/>
  <c r="AJ51" i="24"/>
  <c r="AI51" i="24" s="1"/>
  <c r="AJ55" i="24"/>
  <c r="AI55" i="24" s="1"/>
  <c r="AA55" i="24"/>
  <c r="AH55" i="24" s="1"/>
  <c r="AJ60" i="24"/>
  <c r="AI60" i="24" s="1"/>
  <c r="AA60" i="24"/>
  <c r="AH60" i="24" s="1"/>
  <c r="AH5" i="24"/>
  <c r="AH4" i="24"/>
  <c r="AG4" i="24"/>
  <c r="AJ5" i="24"/>
  <c r="AI5" i="24" s="1"/>
  <c r="AA6" i="24"/>
  <c r="AJ7" i="24"/>
  <c r="AI7" i="24" s="1"/>
  <c r="AH8" i="24"/>
  <c r="AG10" i="24"/>
  <c r="AJ11" i="24"/>
  <c r="AI11" i="24" s="1"/>
  <c r="AH13" i="24"/>
  <c r="AJ18" i="24"/>
  <c r="AI18" i="24" s="1"/>
  <c r="AH20" i="24"/>
  <c r="AG22" i="24"/>
  <c r="AJ23" i="24"/>
  <c r="AI23" i="24" s="1"/>
  <c r="AG29" i="24"/>
  <c r="AJ30" i="24"/>
  <c r="AI30" i="24" s="1"/>
  <c r="AH32" i="24"/>
  <c r="AG34" i="24"/>
  <c r="AJ35" i="24"/>
  <c r="AI35" i="24" s="1"/>
  <c r="AH37" i="24"/>
  <c r="AH42" i="24"/>
  <c r="AJ45" i="24"/>
  <c r="AI45" i="24" s="1"/>
  <c r="AA45" i="24"/>
  <c r="AJ50" i="24"/>
  <c r="AI50" i="24" s="1"/>
  <c r="AA50" i="24"/>
  <c r="M52" i="24"/>
  <c r="AH54" i="24"/>
  <c r="AJ57" i="24"/>
  <c r="AI57" i="24" s="1"/>
  <c r="AA57" i="24"/>
  <c r="AJ62" i="24"/>
  <c r="AI62" i="24" s="1"/>
  <c r="AA62" i="24"/>
  <c r="AJ8" i="24"/>
  <c r="AI8" i="24" s="1"/>
  <c r="AK8" i="24" s="1"/>
  <c r="AA11" i="24"/>
  <c r="AA12" i="24"/>
  <c r="AJ13" i="24"/>
  <c r="AI13" i="24" s="1"/>
  <c r="AK13" i="24" s="1"/>
  <c r="AA15" i="24"/>
  <c r="M16" i="24"/>
  <c r="AJ17" i="24"/>
  <c r="AI17" i="24" s="1"/>
  <c r="AA16" i="24"/>
  <c r="AJ16" i="24"/>
  <c r="AI16" i="24" s="1"/>
  <c r="AA18" i="24"/>
  <c r="AA19" i="24"/>
  <c r="AJ20" i="24"/>
  <c r="AI20" i="24" s="1"/>
  <c r="AK20" i="24" s="1"/>
  <c r="AA23" i="24"/>
  <c r="AA24" i="24"/>
  <c r="AJ25" i="24"/>
  <c r="AI25" i="24" s="1"/>
  <c r="AA27" i="24"/>
  <c r="M28" i="24"/>
  <c r="AJ29" i="24"/>
  <c r="AI29" i="24" s="1"/>
  <c r="AA28" i="24"/>
  <c r="AJ28" i="24"/>
  <c r="AI28" i="24" s="1"/>
  <c r="AA30" i="24"/>
  <c r="AA31" i="24"/>
  <c r="AJ32" i="24"/>
  <c r="AI32" i="24" s="1"/>
  <c r="AK32" i="24" s="1"/>
  <c r="AA35" i="24"/>
  <c r="AA36" i="24"/>
  <c r="AJ37" i="24"/>
  <c r="AI37" i="24" s="1"/>
  <c r="AK37" i="24" s="1"/>
  <c r="AA39" i="24"/>
  <c r="M40" i="24"/>
  <c r="AJ41" i="24"/>
  <c r="AI41" i="24" s="1"/>
  <c r="AA41" i="24"/>
  <c r="AA40" i="24"/>
  <c r="AJ44" i="24"/>
  <c r="AI44" i="24" s="1"/>
  <c r="AG48" i="24"/>
  <c r="AJ49" i="24"/>
  <c r="AI49" i="24" s="1"/>
  <c r="AH51" i="24"/>
  <c r="AJ53" i="24"/>
  <c r="AI53" i="24" s="1"/>
  <c r="AA52" i="24"/>
  <c r="AA53" i="24"/>
  <c r="AJ56" i="24"/>
  <c r="AI56" i="24" s="1"/>
  <c r="AJ61" i="24"/>
  <c r="AI61" i="24" s="1"/>
  <c r="AJ10" i="24"/>
  <c r="AI10" i="24" s="1"/>
  <c r="AJ22" i="24"/>
  <c r="AI22" i="24" s="1"/>
  <c r="AJ34" i="24"/>
  <c r="AI34" i="24" s="1"/>
  <c r="AJ42" i="24"/>
  <c r="AI42" i="24" s="1"/>
  <c r="AK42" i="24" s="1"/>
  <c r="AA44" i="24"/>
  <c r="AJ47" i="24"/>
  <c r="AI47" i="24" s="1"/>
  <c r="AK47" i="24" s="1"/>
  <c r="AA49" i="24"/>
  <c r="AJ54" i="24"/>
  <c r="AI54" i="24" s="1"/>
  <c r="AK54" i="24" s="1"/>
  <c r="AA56" i="24"/>
  <c r="AJ59" i="24"/>
  <c r="AI59" i="24" s="1"/>
  <c r="AK59" i="24" s="1"/>
  <c r="AA61" i="24"/>
  <c r="AJ46" i="24"/>
  <c r="AI46" i="24" s="1"/>
  <c r="AJ58" i="24"/>
  <c r="AI58" i="24" s="1"/>
  <c r="AH63" i="24" l="1"/>
  <c r="AG33" i="24"/>
  <c r="AG60" i="24"/>
  <c r="AH59" i="24"/>
  <c r="AG43" i="24"/>
  <c r="AK43" i="24" s="1"/>
  <c r="AK25" i="24"/>
  <c r="AH47" i="24"/>
  <c r="AH25" i="24"/>
  <c r="AG9" i="24"/>
  <c r="AK9" i="24" s="1"/>
  <c r="AK63" i="24"/>
  <c r="AG38" i="24"/>
  <c r="AK38" i="24" s="1"/>
  <c r="AG46" i="24"/>
  <c r="AG17" i="24"/>
  <c r="AK51" i="24"/>
  <c r="AH7" i="24"/>
  <c r="AG55" i="24"/>
  <c r="AK55" i="24" s="1"/>
  <c r="AG58" i="24"/>
  <c r="AK58" i="24" s="1"/>
  <c r="AG21" i="24"/>
  <c r="AK21" i="24" s="1"/>
  <c r="AG14" i="24"/>
  <c r="AK48" i="24"/>
  <c r="AK33" i="24"/>
  <c r="AK60" i="24"/>
  <c r="AG26" i="24"/>
  <c r="AK26" i="24" s="1"/>
  <c r="AK14" i="24"/>
  <c r="AG61" i="24"/>
  <c r="AK61" i="24" s="1"/>
  <c r="AH61" i="24"/>
  <c r="AG44" i="24"/>
  <c r="AK44" i="24" s="1"/>
  <c r="AH44" i="24"/>
  <c r="AG52" i="24"/>
  <c r="AK52" i="24" s="1"/>
  <c r="AH52" i="24"/>
  <c r="AG40" i="24"/>
  <c r="AK40" i="24" s="1"/>
  <c r="AH40" i="24"/>
  <c r="AG35" i="24"/>
  <c r="AK35" i="24" s="1"/>
  <c r="AH35" i="24"/>
  <c r="AH31" i="24"/>
  <c r="AG31" i="24"/>
  <c r="AK31" i="24" s="1"/>
  <c r="AG23" i="24"/>
  <c r="AK23" i="24" s="1"/>
  <c r="AH23" i="24"/>
  <c r="AH19" i="24"/>
  <c r="AG19" i="24"/>
  <c r="AK19" i="24" s="1"/>
  <c r="AG11" i="24"/>
  <c r="AK11" i="24" s="1"/>
  <c r="AH11" i="24"/>
  <c r="AK29" i="24"/>
  <c r="AK17" i="24"/>
  <c r="AH6" i="24"/>
  <c r="AG6" i="24"/>
  <c r="AK6" i="24" s="1"/>
  <c r="AG56" i="24"/>
  <c r="AK56" i="24" s="1"/>
  <c r="AH56" i="24"/>
  <c r="AG49" i="24"/>
  <c r="AK49" i="24" s="1"/>
  <c r="AH49" i="24"/>
  <c r="AK46" i="24"/>
  <c r="AH53" i="24"/>
  <c r="AG53" i="24"/>
  <c r="AK53" i="24" s="1"/>
  <c r="AH41" i="24"/>
  <c r="AG41" i="24"/>
  <c r="AK41" i="24" s="1"/>
  <c r="AG39" i="24"/>
  <c r="AK39" i="24" s="1"/>
  <c r="AH39" i="24"/>
  <c r="AH36" i="24"/>
  <c r="AG36" i="24"/>
  <c r="AK36" i="24" s="1"/>
  <c r="AG30" i="24"/>
  <c r="AK30" i="24" s="1"/>
  <c r="AH30" i="24"/>
  <c r="AG28" i="24"/>
  <c r="AK28" i="24" s="1"/>
  <c r="AH28" i="24"/>
  <c r="AG27" i="24"/>
  <c r="AK27" i="24" s="1"/>
  <c r="AH27" i="24"/>
  <c r="AH24" i="24"/>
  <c r="AG24" i="24"/>
  <c r="AK24" i="24" s="1"/>
  <c r="AG18" i="24"/>
  <c r="AK18" i="24" s="1"/>
  <c r="AH18" i="24"/>
  <c r="AG16" i="24"/>
  <c r="AK16" i="24" s="1"/>
  <c r="AH16" i="24"/>
  <c r="AG15" i="24"/>
  <c r="AK15" i="24" s="1"/>
  <c r="AH15" i="24"/>
  <c r="AH12" i="24"/>
  <c r="AG12" i="24"/>
  <c r="AK12" i="24" s="1"/>
  <c r="AH62" i="24"/>
  <c r="AG62" i="24"/>
  <c r="AK62" i="24" s="1"/>
  <c r="AH57" i="24"/>
  <c r="AG57" i="24"/>
  <c r="AK57" i="24" s="1"/>
  <c r="AH50" i="24"/>
  <c r="AG50" i="24"/>
  <c r="AK50" i="24" s="1"/>
  <c r="AH45" i="24"/>
  <c r="AG45" i="24"/>
  <c r="AK45" i="24" s="1"/>
  <c r="AK34" i="24"/>
  <c r="AK22" i="24"/>
  <c r="AK10" i="24"/>
  <c r="AK7" i="24"/>
  <c r="AK5" i="24"/>
  <c r="Z23" i="23"/>
  <c r="I15" i="23"/>
  <c r="I12" i="23"/>
  <c r="I10" i="23"/>
  <c r="I9" i="23"/>
  <c r="I8" i="23"/>
  <c r="I7" i="23"/>
  <c r="S6" i="23"/>
  <c r="V5" i="23"/>
  <c r="S5" i="23"/>
  <c r="I5" i="23"/>
  <c r="AA23" i="23" l="1"/>
  <c r="AB23" i="23"/>
  <c r="Z24" i="23" s="1"/>
  <c r="M20" i="23"/>
  <c r="N20" i="23" l="1"/>
  <c r="AB24" i="23"/>
  <c r="Z25" i="23" s="1"/>
  <c r="AA24" i="23"/>
  <c r="O58" i="24"/>
  <c r="P58" i="24" s="1"/>
  <c r="O46" i="24"/>
  <c r="P46" i="24" s="1"/>
  <c r="O52" i="24"/>
  <c r="P52" i="24" s="1"/>
  <c r="O34" i="24"/>
  <c r="P34" i="24" s="1"/>
  <c r="O22" i="24"/>
  <c r="P22" i="24" s="1"/>
  <c r="O10" i="24"/>
  <c r="P10" i="24" s="1"/>
  <c r="O4" i="24"/>
  <c r="P4" i="24" s="1"/>
  <c r="O40" i="24"/>
  <c r="P40" i="24" s="1"/>
  <c r="O28" i="24"/>
  <c r="P28" i="24" s="1"/>
  <c r="O16" i="24"/>
  <c r="P16" i="24" s="1"/>
  <c r="J5" i="23"/>
  <c r="Z5" i="23" s="1"/>
  <c r="J7" i="23"/>
  <c r="Z7" i="23" s="1"/>
  <c r="J8" i="23"/>
  <c r="Z8" i="23" s="1"/>
  <c r="AB8" i="23" s="1"/>
  <c r="J10" i="23"/>
  <c r="Z10" i="23" s="1"/>
  <c r="AB10" i="23" s="1"/>
  <c r="Z11" i="23" s="1"/>
  <c r="J9" i="23"/>
  <c r="Z9" i="23" s="1"/>
  <c r="J12" i="23"/>
  <c r="Z12" i="23" s="1"/>
  <c r="J15" i="23"/>
  <c r="AB12" i="23" l="1"/>
  <c r="AA12" i="23"/>
  <c r="P20" i="23"/>
  <c r="O20" i="23"/>
  <c r="AD20" i="23" s="1"/>
  <c r="AC20" i="23" s="1"/>
  <c r="AE20" i="23" s="1"/>
  <c r="Z15" i="23"/>
  <c r="AB7" i="23"/>
  <c r="AA7" i="23"/>
  <c r="AB25" i="23"/>
  <c r="AA25" i="23"/>
  <c r="AB9" i="23"/>
  <c r="AA9" i="23"/>
  <c r="AA10" i="23"/>
  <c r="AA8" i="23"/>
  <c r="Q16" i="24"/>
  <c r="R16" i="24"/>
  <c r="Q40" i="24"/>
  <c r="R40" i="24"/>
  <c r="Q10" i="24"/>
  <c r="R10" i="24"/>
  <c r="Q34" i="24"/>
  <c r="R34" i="24"/>
  <c r="Q46" i="24"/>
  <c r="R46" i="24"/>
  <c r="Q28" i="24"/>
  <c r="R28" i="24"/>
  <c r="Q4" i="24"/>
  <c r="AJ4" i="24" s="1"/>
  <c r="AI4" i="24" s="1"/>
  <c r="AK4" i="24" s="1"/>
  <c r="R4" i="24"/>
  <c r="Q22" i="24"/>
  <c r="R22" i="24"/>
  <c r="Q52" i="24"/>
  <c r="R52" i="24"/>
  <c r="Q58" i="24"/>
  <c r="R58" i="24"/>
  <c r="AA11" i="23"/>
  <c r="AB11" i="23"/>
  <c r="AB5" i="23"/>
  <c r="Z6" i="23" s="1"/>
  <c r="AB6" i="23" s="1"/>
  <c r="AA5" i="23"/>
  <c r="Z13" i="23" l="1"/>
  <c r="AB15" i="23"/>
  <c r="Z16" i="23" s="1"/>
  <c r="AA15" i="23"/>
  <c r="AA6" i="23"/>
  <c r="AA16" i="23" l="1"/>
  <c r="AB16" i="23"/>
  <c r="Z17" i="23" s="1"/>
  <c r="AA13" i="23"/>
  <c r="AB13" i="23"/>
  <c r="Z14" i="23" s="1"/>
  <c r="N17" i="1"/>
  <c r="AA17" i="23" l="1"/>
  <c r="AB17" i="23"/>
  <c r="Z18" i="23" s="1"/>
  <c r="AB14" i="23"/>
  <c r="AA14" i="23"/>
  <c r="E220" i="13"/>
  <c r="E210" i="13"/>
  <c r="E211" i="13"/>
  <c r="E212" i="13"/>
  <c r="E213" i="13"/>
  <c r="E214" i="13"/>
  <c r="E215" i="13"/>
  <c r="E216" i="13"/>
  <c r="E217" i="13"/>
  <c r="E218" i="13"/>
  <c r="E219" i="13"/>
  <c r="E209" i="13"/>
  <c r="A220" i="13" a="1"/>
  <c r="AB18" i="23" l="1"/>
  <c r="AA18" i="23"/>
  <c r="AE17" i="1"/>
  <c r="AD17" i="1" s="1"/>
  <c r="A220"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G209" i="13"/>
  <c r="J16" i="1" l="1"/>
  <c r="K16" i="1" s="1"/>
  <c r="AA16" i="1" s="1"/>
  <c r="AC16" i="1" l="1"/>
  <c r="AA17" i="1" s="1"/>
  <c r="AB16" i="1"/>
  <c r="AB17" i="1" l="1"/>
  <c r="AF17" i="1" s="1"/>
  <c r="AC17" i="1"/>
  <c r="AA18" i="1" s="1"/>
  <c r="AB18" i="1" l="1"/>
  <c r="AF18" i="1" s="1"/>
  <c r="AC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222" i="13"/>
  <c r="A221" i="13"/>
  <c r="M18" i="23" l="1"/>
  <c r="M16" i="23"/>
  <c r="M17" i="23"/>
  <c r="M13" i="23"/>
  <c r="M14" i="23"/>
  <c r="M26" i="23"/>
  <c r="N26" i="23" s="1"/>
  <c r="M5" i="23"/>
  <c r="N5" i="23" s="1"/>
  <c r="O5" i="23" s="1"/>
  <c r="M9" i="23"/>
  <c r="N9" i="23" s="1"/>
  <c r="M25" i="23"/>
  <c r="M24" i="23"/>
  <c r="M23" i="23"/>
  <c r="M6" i="23"/>
  <c r="M19" i="23"/>
  <c r="N19" i="23" s="1"/>
  <c r="M7" i="23"/>
  <c r="N7" i="23" s="1"/>
  <c r="M15" i="23"/>
  <c r="N15" i="23" s="1"/>
  <c r="M10" i="23"/>
  <c r="N10" i="23" s="1"/>
  <c r="M12" i="23"/>
  <c r="N12" i="23" s="1"/>
  <c r="M8" i="23"/>
  <c r="N8" i="23" s="1"/>
  <c r="M21" i="23"/>
  <c r="N21" i="23" s="1"/>
  <c r="N16" i="1"/>
  <c r="O16" i="1" s="1"/>
  <c r="P6" i="23" l="1"/>
  <c r="P5" i="23"/>
  <c r="P26" i="23"/>
  <c r="O26" i="23"/>
  <c r="AD26" i="23" s="1"/>
  <c r="AC26" i="23" s="1"/>
  <c r="AE26" i="23" s="1"/>
  <c r="P21" i="23"/>
  <c r="O21" i="23"/>
  <c r="O19" i="23"/>
  <c r="AD19" i="23" s="1"/>
  <c r="AC19" i="23" s="1"/>
  <c r="AE19" i="23" s="1"/>
  <c r="P19" i="23"/>
  <c r="P15" i="23"/>
  <c r="O15" i="23"/>
  <c r="O12" i="23"/>
  <c r="AD12" i="23" s="1"/>
  <c r="AC12" i="23" s="1"/>
  <c r="AE12" i="23" s="1"/>
  <c r="P12" i="23"/>
  <c r="P10" i="23"/>
  <c r="O10" i="23"/>
  <c r="AD10" i="23" s="1"/>
  <c r="AD11" i="23" s="1"/>
  <c r="P9" i="23"/>
  <c r="O9" i="23"/>
  <c r="AD9" i="23" s="1"/>
  <c r="P8" i="23"/>
  <c r="O8" i="23"/>
  <c r="AD8" i="23" s="1"/>
  <c r="AC8" i="23" s="1"/>
  <c r="AE8" i="23" s="1"/>
  <c r="O7" i="23"/>
  <c r="AD7" i="23" s="1"/>
  <c r="AC7" i="23" s="1"/>
  <c r="AE7" i="23" s="1"/>
  <c r="P7" i="23"/>
  <c r="AD5" i="23"/>
  <c r="AD6" i="23" s="1"/>
  <c r="AC6" i="23" s="1"/>
  <c r="AE6" i="23" s="1"/>
  <c r="Q16" i="1"/>
  <c r="P16" i="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P14" i="18"/>
  <c r="V22" i="18"/>
  <c r="V14" i="18"/>
  <c r="AH14" i="18"/>
  <c r="AH38" i="18"/>
  <c r="J14" i="18"/>
  <c r="AB22" i="18"/>
  <c r="V30" i="18"/>
  <c r="AB14" i="18"/>
  <c r="J30" i="18"/>
  <c r="P38" i="18"/>
  <c r="AB6" i="18"/>
  <c r="J38" i="18"/>
  <c r="AH6" i="18"/>
  <c r="V6" i="18"/>
  <c r="J6" i="18"/>
  <c r="P30" i="18"/>
  <c r="AH22" i="18"/>
  <c r="P6" i="18"/>
  <c r="AB38" i="18"/>
  <c r="P22" i="18"/>
  <c r="AB30" i="18"/>
  <c r="AH30" i="18"/>
  <c r="J22" i="18"/>
  <c r="V38"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AD21" i="23" l="1"/>
  <c r="AC21" i="23" s="1"/>
  <c r="AE21" i="23" s="1"/>
  <c r="AD15" i="23"/>
  <c r="AC15" i="23" s="1"/>
  <c r="AE15" i="23" s="1"/>
  <c r="J39" i="19"/>
  <c r="AH9" i="19"/>
  <c r="J49" i="19"/>
  <c r="J9" i="19"/>
  <c r="AB39" i="19"/>
  <c r="J29" i="19"/>
  <c r="P19" i="19"/>
  <c r="AH49" i="19"/>
  <c r="J19" i="19"/>
  <c r="V49" i="19"/>
  <c r="V39" i="19"/>
  <c r="P39" i="19"/>
  <c r="V29" i="19"/>
  <c r="AH39" i="19"/>
  <c r="P9" i="19"/>
  <c r="P29" i="19"/>
  <c r="V19" i="19"/>
  <c r="AH29" i="19"/>
  <c r="AB9" i="19"/>
  <c r="AB49" i="19"/>
  <c r="AH19" i="19"/>
  <c r="AB29" i="19"/>
  <c r="V9" i="19"/>
  <c r="P49" i="19"/>
  <c r="AB19" i="19"/>
  <c r="AD30" i="23"/>
  <c r="AC30" i="23" s="1"/>
  <c r="AE30" i="23" s="1"/>
  <c r="AH7" i="19"/>
  <c r="P6" i="19"/>
  <c r="AD13" i="23"/>
  <c r="AC10" i="23"/>
  <c r="AE10" i="23" s="1"/>
  <c r="AC9" i="23"/>
  <c r="AE9" i="23" s="1"/>
  <c r="AC11" i="23"/>
  <c r="AE11" i="23" s="1"/>
  <c r="AC5" i="23"/>
  <c r="AE5" i="23" s="1"/>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D23" i="23" l="1"/>
  <c r="AD16" i="23"/>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V26" i="19"/>
  <c r="J26" i="19"/>
  <c r="AB26" i="19"/>
  <c r="AB6" i="19"/>
  <c r="AH46" i="19"/>
  <c r="V36" i="19"/>
  <c r="P16" i="19"/>
  <c r="AH16" i="19"/>
  <c r="V16" i="19"/>
  <c r="V46" i="19"/>
  <c r="AB47" i="19"/>
  <c r="AH27" i="19"/>
  <c r="J17" i="19"/>
  <c r="V7" i="19"/>
  <c r="AH17" i="19"/>
  <c r="V47" i="19"/>
  <c r="AB36" i="19"/>
  <c r="J16" i="19"/>
  <c r="P46" i="19"/>
  <c r="J36" i="19"/>
  <c r="V6" i="19"/>
  <c r="P26" i="19"/>
  <c r="AH26" i="19"/>
  <c r="J6" i="19"/>
  <c r="AH6" i="19"/>
  <c r="J46" i="19"/>
  <c r="P36" i="19"/>
  <c r="AH36" i="19"/>
  <c r="AB16" i="19"/>
  <c r="AB46" i="19"/>
  <c r="AH47" i="19"/>
  <c r="J7" i="19"/>
  <c r="AB27" i="19"/>
  <c r="P7" i="19"/>
  <c r="J37" i="19"/>
  <c r="P37" i="19"/>
  <c r="AC37" i="19"/>
  <c r="AC13" i="23"/>
  <c r="AE13" i="23" s="1"/>
  <c r="AD14" i="23"/>
  <c r="AC23" i="23" l="1"/>
  <c r="AE23" i="23" s="1"/>
  <c r="AD24" i="23"/>
  <c r="AC24" i="23" s="1"/>
  <c r="AE24" i="23" s="1"/>
  <c r="AC16" i="23"/>
  <c r="AE16" i="23" s="1"/>
  <c r="AD17" i="23"/>
  <c r="AD38" i="19"/>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C14" i="23"/>
  <c r="AE14" i="23" s="1"/>
  <c r="AD25" i="23" l="1"/>
  <c r="AC25" i="23" s="1"/>
  <c r="AE25" i="23" s="1"/>
  <c r="AC17" i="23"/>
  <c r="AE17" i="23" s="1"/>
  <c r="AD18" i="23"/>
  <c r="AC18" i="23" s="1"/>
  <c r="AE18" i="23" s="1"/>
  <c r="AD7" i="19"/>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alcChain>
</file>

<file path=xl/comments1.xml><?xml version="1.0" encoding="utf-8"?>
<comments xmlns="http://schemas.openxmlformats.org/spreadsheetml/2006/main">
  <authors>
    <author>Willy Alexander Vijalba Caballero</author>
  </authors>
  <commentList>
    <comment ref="B2" authorId="0" shapeId="0">
      <text>
        <r>
          <rPr>
            <b/>
            <sz val="9"/>
            <color indexed="81"/>
            <rFont val="Tahoma"/>
            <family val="2"/>
          </rPr>
          <t>Willy Alexander Vijalba Caballero:</t>
        </r>
        <r>
          <rPr>
            <sz val="9"/>
            <color indexed="81"/>
            <rFont val="Tahoma"/>
            <family val="2"/>
          </rPr>
          <t xml:space="preserve">
Registrar el activo o activos de información del proceso, que en la columna AN (Nivel) del formato de activos de información, sea Alto o Muy Alto, ya que estos son denominados activos críticos y se les debe hacer el tratamiento de riesgos.</t>
        </r>
      </text>
    </comment>
    <comment ref="C2" authorId="0" shapeId="0">
      <text>
        <r>
          <rPr>
            <b/>
            <sz val="9"/>
            <color indexed="81"/>
            <rFont val="Tahoma"/>
            <family val="2"/>
          </rPr>
          <t>Willy Alexander Vijalba Caballero:</t>
        </r>
        <r>
          <rPr>
            <sz val="9"/>
            <color indexed="81"/>
            <rFont val="Tahoma"/>
            <family val="2"/>
          </rPr>
          <t xml:space="preserve">
Seleccionar el proceso al que pertenece el activo</t>
        </r>
      </text>
    </comment>
    <comment ref="D2" authorId="0" shapeId="0">
      <text>
        <r>
          <rPr>
            <b/>
            <sz val="9"/>
            <color indexed="81"/>
            <rFont val="Tahoma"/>
            <family val="2"/>
          </rPr>
          <t>Willy Alexander Vijalba Caballero:</t>
        </r>
        <r>
          <rPr>
            <sz val="9"/>
            <color indexed="81"/>
            <rFont val="Tahoma"/>
            <family val="2"/>
          </rPr>
          <t xml:space="preserve">
Analice las consecuencias que puede ocasionar a la organización la materialización del riesgoy sleecione una opción de la lista</t>
        </r>
      </text>
    </comment>
    <comment ref="E2" authorId="0" shapeId="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las vulnerabilidades a nivel se seguridad de la información</t>
        </r>
      </text>
    </comment>
    <comment ref="F2" authorId="0" shapeId="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Amenza a nivel de seguridad de la información</t>
        </r>
      </text>
    </comment>
    <comment ref="G2" authorId="0" shapeId="0">
      <text>
        <r>
          <rPr>
            <b/>
            <sz val="9"/>
            <color indexed="81"/>
            <rFont val="Tahoma"/>
            <family val="2"/>
          </rPr>
          <t>Willy Alexander Vijalba Caballero:</t>
        </r>
        <r>
          <rPr>
            <sz val="9"/>
            <color indexed="81"/>
            <rFont val="Tahoma"/>
            <family val="2"/>
          </rPr>
          <t xml:space="preserve">
Tenga en cuenta la estructura de alto nivel establecida en al guía de  la Función Pública. Inicia con POSIBILIDAD DE + Impacto para la entidad (Qué) + Causa Inmediata (Cómo) + Causa Raíz (Por qué)</t>
        </r>
      </text>
    </comment>
    <comment ref="H2" authorId="0" shapeId="0">
      <text>
        <r>
          <rPr>
            <b/>
            <sz val="9"/>
            <color indexed="81"/>
            <rFont val="Tahoma"/>
            <family val="2"/>
          </rPr>
          <t>Willy Alexander Vijalba Caballero:</t>
        </r>
        <r>
          <rPr>
            <sz val="9"/>
            <color indexed="81"/>
            <rFont val="Tahoma"/>
            <family val="2"/>
          </rPr>
          <t xml:space="preserve">
Seleccione un opción de la lista</t>
        </r>
      </text>
    </comment>
    <comment ref="I2" authorId="0" shapeId="0">
      <text>
        <r>
          <rPr>
            <b/>
            <sz val="9"/>
            <color indexed="81"/>
            <rFont val="Tahoma"/>
            <family val="2"/>
          </rPr>
          <t>Willy Alexander Vijalba Caballero:</t>
        </r>
        <r>
          <rPr>
            <sz val="9"/>
            <color indexed="81"/>
            <rFont val="Tahoma"/>
            <family val="2"/>
          </rPr>
          <t xml:space="preserve">
Tipo Compromiso de la informaciòn, las amenasas que pueden ser de este tipo son: Espionaje remoto, hurto de medioo o documentos, hurto de equipos, divulgaciòn..</t>
        </r>
      </text>
    </comment>
    <comment ref="J2" authorId="0" shapeId="0">
      <text>
        <r>
          <rPr>
            <b/>
            <sz val="9"/>
            <color indexed="81"/>
            <rFont val="Tahoma"/>
            <family val="2"/>
          </rPr>
          <t>Willy Alexander Vijalba Caballero:</t>
        </r>
        <r>
          <rPr>
            <sz val="9"/>
            <color indexed="81"/>
            <rFont val="Tahoma"/>
            <family val="2"/>
          </rPr>
          <t xml:space="preserve">
Posibles consecuencias que puedan enfrentar la entidad o el proceso a causa de la materializacion del riesgo.
Ejemplo: posible retraso en el pago de nómina</t>
        </r>
      </text>
    </comment>
    <comment ref="K2" authorId="0" shapeId="0">
      <text>
        <r>
          <rPr>
            <b/>
            <sz val="9"/>
            <color indexed="81"/>
            <rFont val="Tahoma"/>
            <family val="2"/>
          </rPr>
          <t>Willy Alexander Vijalba Caballero: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t>
        </r>
      </text>
    </comment>
    <comment ref="AE3" authorId="0" shapeId="0">
      <text>
        <r>
          <rPr>
            <b/>
            <sz val="9"/>
            <color indexed="81"/>
            <rFont val="Tahoma"/>
            <family val="2"/>
          </rPr>
          <t>Willy Alexander Vijalba Caballero:</t>
        </r>
        <r>
          <rPr>
            <sz val="9"/>
            <color indexed="81"/>
            <rFont val="Tahoma"/>
            <family val="2"/>
          </rPr>
          <t xml:space="preserve">
Periodos en los que se realiza el contro:
diario
Semanal
1 Vez al Mes
Mensual
etc</t>
        </r>
      </text>
    </comment>
    <comment ref="AF3" authorId="0" shapeId="0">
      <text>
        <r>
          <rPr>
            <b/>
            <sz val="9"/>
            <color indexed="81"/>
            <rFont val="Tahoma"/>
            <family val="2"/>
          </rPr>
          <t>Willy Alexander Vijalba Caballero:</t>
        </r>
        <r>
          <rPr>
            <sz val="9"/>
            <color indexed="81"/>
            <rFont val="Tahoma"/>
            <family val="2"/>
          </rPr>
          <t xml:space="preserve">
Eficacia: Ïndice de cumplimiento de actividades = (# de actividades cumplidas / # de actividades programadas)*100
Efectividad: Efectividad del plan de manejo de riesgos = (# de modificaciones no autorizadas)</t>
        </r>
      </text>
    </comment>
  </commentList>
</comments>
</file>

<file path=xl/sharedStrings.xml><?xml version="1.0" encoding="utf-8"?>
<sst xmlns="http://schemas.openxmlformats.org/spreadsheetml/2006/main" count="1787" uniqueCount="504">
  <si>
    <t xml:space="preserve">Referencia </t>
  </si>
  <si>
    <t>Descripción del Riesgo</t>
  </si>
  <si>
    <t>Impacto</t>
  </si>
  <si>
    <t>Causa Inmediata</t>
  </si>
  <si>
    <t>Probabilidad</t>
  </si>
  <si>
    <t>%</t>
  </si>
  <si>
    <t>Alta</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</si>
  <si>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</si>
  <si>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</si>
  <si>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</si>
  <si>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</si>
  <si>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</si>
  <si>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</si>
  <si>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</si>
  <si>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</si>
  <si>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</si>
  <si>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</si>
  <si>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</si>
  <si>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</si>
  <si>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</si>
  <si>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</si>
  <si>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</si>
  <si>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</si>
  <si>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</si>
  <si>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</si>
  <si>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</si>
  <si>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</si>
  <si>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</si>
  <si>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</si>
  <si>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</si>
  <si>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</si>
  <si>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</si>
  <si>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</si>
  <si>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</si>
  <si>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</si>
  <si>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</si>
  <si>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</si>
  <si>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</si>
  <si>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</si>
  <si>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</si>
  <si>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</si>
  <si>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</si>
  <si>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</si>
  <si>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</si>
  <si>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</si>
  <si>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</si>
  <si>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</si>
  <si>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</si>
  <si>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</si>
  <si>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</si>
  <si>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</si>
  <si>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</si>
  <si>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</si>
  <si>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Pérdida Reputacional</t>
  </si>
  <si>
    <t>Afectación menor a 10 SMLMV .</t>
  </si>
  <si>
    <t>Moderado 60%</t>
  </si>
  <si>
    <t>Mayor 80%</t>
  </si>
  <si>
    <t>Catastrófico 100%</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</si>
  <si>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</si>
  <si>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</si>
  <si>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</si>
  <si>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</si>
  <si>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</si>
  <si>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</si>
  <si>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</si>
  <si>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</si>
  <si>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</si>
  <si>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</si>
  <si>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</si>
  <si>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</si>
  <si>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</si>
  <si>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</si>
  <si>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Catastrófico</t>
  </si>
  <si>
    <t>Plan de accion (solo para la opción reducir)</t>
  </si>
  <si>
    <t>Criterios de impacto</t>
  </si>
  <si>
    <t>Criterios</t>
  </si>
  <si>
    <t>Afectación Económica o 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</si>
  <si>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</si>
  <si>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</si>
  <si>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</si>
  <si>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</si>
  <si>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</si>
  <si>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</si>
  <si>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</si>
  <si>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</si>
  <si>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</si>
  <si>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</si>
  <si>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</si>
  <si>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</si>
  <si>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</si>
  <si>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</si>
  <si>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</si>
  <si>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</si>
  <si>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</si>
  <si>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</si>
  <si>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</si>
  <si>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</si>
  <si>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</si>
  <si>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</si>
  <si>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</si>
  <si>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</si>
  <si>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</si>
  <si>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</si>
  <si>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</si>
  <si>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</si>
  <si>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</si>
  <si>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</si>
  <si>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</si>
  <si>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</si>
  <si>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</si>
  <si>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</si>
  <si>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</si>
  <si>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</si>
  <si>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</si>
  <si>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</si>
  <si>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</si>
  <si>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</si>
  <si>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</si>
  <si>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</si>
  <si>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</si>
  <si>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</si>
  <si>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</si>
  <si>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</si>
  <si>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</si>
  <si>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</si>
  <si>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</si>
  <si>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</si>
  <si>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</si>
  <si>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</si>
  <si>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</si>
  <si>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</si>
  <si>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</si>
  <si>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</si>
  <si>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</si>
  <si>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</si>
  <si>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</si>
  <si>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</si>
  <si>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</si>
  <si>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</si>
  <si>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</si>
  <si>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</si>
  <si>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</si>
  <si>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</si>
  <si>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</si>
  <si>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</si>
  <si>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</si>
  <si>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</si>
  <si>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</si>
  <si>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</si>
  <si>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</si>
  <si>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</si>
  <si>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</si>
  <si>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</si>
  <si>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</si>
  <si>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</si>
  <si>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</si>
  <si>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</si>
  <si>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</si>
  <si>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</si>
  <si>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</si>
  <si>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</si>
  <si>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</si>
  <si>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</si>
  <si>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</si>
  <si>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</si>
  <si>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</si>
  <si>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</si>
  <si>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</si>
  <si>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</si>
  <si>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</si>
  <si>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</si>
  <si>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</si>
  <si>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</si>
  <si>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</si>
  <si>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</si>
  <si>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</si>
  <si>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</si>
  <si>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</si>
  <si>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</si>
  <si>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</si>
  <si>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</si>
  <si>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</si>
  <si>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</si>
  <si>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</si>
  <si>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</si>
  <si>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</si>
  <si>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</si>
  <si>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</si>
  <si>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</si>
  <si>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</si>
  <si>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</si>
  <si>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</si>
  <si>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</si>
  <si>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</si>
  <si>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</si>
  <si>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</si>
  <si>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</si>
  <si>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</si>
  <si>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</si>
  <si>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</si>
  <si>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</si>
  <si>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</si>
  <si>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</si>
  <si>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xxxxx</t>
  </si>
  <si>
    <t>Los encabezdos de color rojo pertenecen a variables  Adicionales para la Identificación del riesgo seguridad de la Información</t>
  </si>
  <si>
    <t>Descripción del Activo</t>
  </si>
  <si>
    <t xml:space="preserve">Proceso </t>
  </si>
  <si>
    <r>
      <t xml:space="preserve">Causa Inmediata // </t>
    </r>
    <r>
      <rPr>
        <b/>
        <sz val="11"/>
        <color rgb="FFFF0000"/>
        <rFont val="Arial Narrow"/>
        <family val="2"/>
      </rPr>
      <t>Vulnerabilidades</t>
    </r>
  </si>
  <si>
    <r>
      <t>Causa Raíz / /</t>
    </r>
    <r>
      <rPr>
        <b/>
        <sz val="11"/>
        <color rgb="FFFF0000"/>
        <rFont val="Arial Narrow"/>
        <family val="2"/>
      </rPr>
      <t xml:space="preserve"> Amenaza</t>
    </r>
  </si>
  <si>
    <t>Consecuencia</t>
  </si>
  <si>
    <t>Control General</t>
  </si>
  <si>
    <t>Objetivo de Control</t>
  </si>
  <si>
    <t>Controles</t>
  </si>
  <si>
    <t>Soporte</t>
  </si>
  <si>
    <t>Tiempo</t>
  </si>
  <si>
    <t>Indicador</t>
  </si>
  <si>
    <t>Gestión de Comunicaciones.</t>
  </si>
  <si>
    <t>Acceso no autorizado
Borrado no autorizados</t>
  </si>
  <si>
    <t>Personas internas</t>
  </si>
  <si>
    <t>Debido a accesos no autorizados personas internas modifican, borran o manipulan el documento</t>
  </si>
  <si>
    <t>Ausencia de controles de protecciòn de la informaciòn</t>
  </si>
  <si>
    <t xml:space="preserve">Perdida de la información, inadecuada. </t>
  </si>
  <si>
    <t xml:space="preserve">Inducciones a personal sobre el adecuado manejo del documento..
</t>
  </si>
  <si>
    <t>Acta</t>
  </si>
  <si>
    <t>Profesional Especializado / Asesora de Comunicaiones</t>
  </si>
  <si>
    <t>Anual</t>
  </si>
  <si>
    <t>Efectividad</t>
  </si>
  <si>
    <t>XXXXXXXXXX</t>
  </si>
  <si>
    <t>Profesional XXXXX</t>
  </si>
  <si>
    <t>CONTROL DE ACCESOS.</t>
  </si>
  <si>
    <t>Responsabilidades del usuario.</t>
  </si>
  <si>
    <t>Uso de información confidencial para la autenticación.</t>
  </si>
  <si>
    <t>xxxx</t>
  </si>
  <si>
    <t>Matriz de seguimiento a la gestión de los certificados de utilidad común</t>
  </si>
  <si>
    <t>x</t>
  </si>
  <si>
    <t>por la Reclamación  del donante</t>
  </si>
  <si>
    <t>Debido a la ausencia en el seguimiento de la donación frente al beneficiario final.</t>
  </si>
  <si>
    <t>Por carencia o insuficiencia de PAC</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</si>
  <si>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</si>
  <si>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</si>
  <si>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</si>
  <si>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</si>
  <si>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</si>
  <si>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</si>
  <si>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</si>
  <si>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</si>
  <si>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</si>
  <si>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</si>
  <si>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</si>
  <si>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</si>
  <si>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</si>
  <si>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</si>
  <si>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</si>
  <si>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</si>
  <si>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</si>
  <si>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</si>
  <si>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Carrera 10 No. 97A-13, Piso 6, Torre A, Bogotá - Colombia   Conmutador (57 60 1) 601 24 24   www.apccolombia.gov.co
1/1</t>
  </si>
  <si>
    <t xml:space="preserve">Consideraciones </t>
  </si>
  <si>
    <t xml:space="preserve">Mapa de Riesgos </t>
  </si>
  <si>
    <t>Posibilidad de afectación reputacional por pérdida de credibilidad en el ejercicio auditor al emitir conclusiones, recomendaciones, hallazgos erróneos u omisiones en las actividades de auditoría interna</t>
  </si>
  <si>
    <t xml:space="preserve">Por pérdida de credibilidad en el ejercicio auditor </t>
  </si>
  <si>
    <t>Al emitir conclusiones, recomendaciones, hallazgos erróneos u omisiones en las actividades de auditoría interna</t>
  </si>
  <si>
    <t xml:space="preserve"> Por acciones constitucionales (Tutelas) y responsabilidad disciplinaria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</si>
  <si>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</si>
  <si>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</si>
  <si>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</si>
  <si>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</si>
  <si>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</si>
  <si>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</si>
  <si>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</si>
  <si>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</si>
  <si>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</si>
  <si>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Mapa de Riesgos</t>
  </si>
  <si>
    <t>Gestión de Talento Humano</t>
  </si>
  <si>
    <t xml:space="preserve">Administración de recursos de cooperación internacional no reembolsables y donaciones en especie </t>
  </si>
  <si>
    <t>Gestión financiera</t>
  </si>
  <si>
    <t>Gestiuón de comunicaciones</t>
  </si>
  <si>
    <t>Gestión administrativa</t>
  </si>
  <si>
    <t>Gestión de servicio al ciudadano</t>
  </si>
  <si>
    <t>Identificación y priorización de cooperación internacional</t>
  </si>
  <si>
    <t>Evaluación, control y mejoramiento</t>
  </si>
  <si>
    <t>Gestión de talento humano</t>
  </si>
  <si>
    <t>Gestión jurídica</t>
  </si>
  <si>
    <t>Direccionamiento estratégico y planeación</t>
  </si>
  <si>
    <t>Preparación y formulación de cooperación internacional</t>
  </si>
  <si>
    <t>Implementación y seguimiento de cooperación internacional</t>
  </si>
  <si>
    <t>Gestión contractual</t>
  </si>
  <si>
    <t>Por multa o sanción por parte de la instancia interna o externa competente</t>
  </si>
  <si>
    <t>Debido al seguimiento inoportuno a la planeación institucional</t>
  </si>
  <si>
    <t>Posibilidad de afectación reputacional y/o económica, por multa o sanción por parte de la instancia interna o externa competente, debido al seguimiento inoportuno a la planeación institucional</t>
  </si>
  <si>
    <t>Por daño antijurídico en la actuación de la Agencia</t>
  </si>
  <si>
    <t>Por sanción</t>
  </si>
  <si>
    <t xml:space="preserve">Debido al incumplimiento en los requisitos de ejecución de contratos y convenios en la fase precontractual </t>
  </si>
  <si>
    <t xml:space="preserve">Posibilidad de sanción económica y reputacional  debido al incumplimiento en los requisitos de ejecución de contratos y convenios en la fase precontractual </t>
  </si>
  <si>
    <t xml:space="preserve">Debido a la ilegalidad del acto administrativo que pueda afectar los intereses de la misma o a terceros y en consecuencia dar lugar a conciliaciones extrajudiciales y/o judiciales y/o  demandas y/o denuncias y/o condenas en contra de la Agencia </t>
  </si>
  <si>
    <t xml:space="preserve">Posibilidad de afectación económica y reputacional, por daño antijurídico en la actuación de la Agencia, debido a la ilegalidad del acto administrativo que pueda afectar los intereses de la misma o a terceros y en consecuencia dar lugar a conciliaciones extrajudiciales y/o judiciales y/o  demandas y/o denuncias y/o condenas en contra de la Agencia </t>
  </si>
  <si>
    <t>Gestión de tecnologías de la información</t>
  </si>
  <si>
    <t xml:space="preserve">Por la veracidad de la información a difundir   </t>
  </si>
  <si>
    <t>Posibilidad de afectación reputacional por la veracidad de la información a difundir debido a que las direcciones / dependencias entregan información parcial o sin confirmar y fuera de tiempos</t>
  </si>
  <si>
    <t>Debido a que las direcciones / dependencias entregan información parcial o sin confirmar y fuera de tiempos</t>
  </si>
  <si>
    <t>El(la) asesor(a) de gestión de comunicaciones y el comité editorial: Controlan el cumplimiento de los compromisos con la entrega de la información para difundir 
Periodicidad del plan: Anual
Propósito del plan: Visibilizar la gestión de la Agencia en el ámbito territorial, nacional e internacional  
Cómo se ejecuta el plan: Participa en el comité editorial y propone estrategias para la difusión de información 
Qué pasa con las observaciones o desviaciones del plan: Se hace un contacto directo con el responsbale de la información a difundir  
Evidencias o soportes de la ejecución del plan: cta de comité o correo electrónico, entre otros</t>
  </si>
  <si>
    <t>El(la) asesor(a) de gestión de comunicaciones: Lidera el comité editorial en el que participan los directores de la Agencia para establecer las acciones de comunicaciones de acuerdo con cronogramas, responsables de entrega y fecha de la información. Adicionalmente se cuenta con el formato de solicitud de publicaciones
Periodicidad del control: Trimestral
Propósito del control: Contar con la información veraz y oportuna suministrada por direcciones / dependencias para difundir  
Cómo se ejecuta el control: Con el diálogo directo con los responsables de la información en el comipte editorial 
Qué pasa con las observaciones o desviaciones del control: Cuando aplique se realiza ajustes necesarios en la respectiva difusión 
Evidencias o soportes de la ejecución del control: Acta de comité o correo electrónico, entre otros</t>
  </si>
  <si>
    <t>El(la) coordinador(a) del grupo interno de trabajo de gestión contractual y el equipo de trabajo: Verifican la expedición del registro presupuestal
Periodicidad del control: Trimestral
Propósito del control: Prevenir la posibilidad de incumplimiento en los requisitos de ejecución de contratos y convenios en la fase precontractual  
Cómo se ejecuta el control: Verifican la expedición del registro presupuestal acorde con las específicaciones contractuales 
Qué pasa con las observaciones o desviaciones del control: Devuelve al solicitante para ajustes y/o correcciones de los regsistros presupuestales
Evidencias o soportes de la ejecución del control: Base de datos, lista de chequeo, expediente contractual, SECOP II, entre otros</t>
  </si>
  <si>
    <t>El(la) coordinador(a) del grupo interno de trabajo de gestión contractual y el equipo de trabajo: Imprimen las garantías y las adjuntan al expediente fisico contractual con el pantallazo de aprobación en SECOP II
Periodicidad del control: Trimestral
Propósito del control: Prevenir la posibilidad de incumplimiento en los requisitos de ejecución de contratos y convenios en la fase precontractual  
Cómo se ejecuta el control: Imprimen las garantías y las adjuntan al expediente fisico contractual con el pantallazo de aprobación en SECOP II 
Qué pasa con las observaciones o desviaciones del control: Devuelve al solicitante para ajustes y/o correcciones de las grarantías  
Evidencias o soportes de la ejecución del control: Base de datos, lista de chequeo, expediente contractual, SECOP II, entre otros</t>
  </si>
  <si>
    <t>El(la) coordinador(a) del grupo interno de trabajo de gestión contractual y el equipo de trabajo: Revisan juridicamente los estudios previos y la documentación acorde a cada modalidad contractual
Periodicidad del control: Trimestral
Propósito del control: Prevenir la posibilidad de incumplimiento en los requisitos de ejecución de contratos y convenios en la fase precontractual  
Cómo se ejecuta el control: Revisan juridicamente los estudios previos y la documentación acorde a cada modalidad contractual, teniendo en cuenta los formatos asociados y la normativa vigente 
Qué pasa con las observaciones o desviaciones del control: Devuelve al solicitante para ajustes y/o correcciones de los estudios previos y la documentación acorde 
Evidencias o soportes de la ejecución del control: Listas de chequeo implementadas en la carpeta física y/o flujo de aprobación en SECOP II, entre otros</t>
  </si>
  <si>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</si>
  <si>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</si>
  <si>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Plan de Acción o Plan de Manejo</t>
  </si>
  <si>
    <t xml:space="preserve">Menor 40% </t>
  </si>
  <si>
    <t>Posibilidad de afectación económica y reputacional por sanciones y/o multas del organismo de control, debido al incumplimiento legal de los requisitos del Sistema de Gestión de Seguridad y Salud en el Trabajo (SG-SST)</t>
  </si>
  <si>
    <t xml:space="preserve">El(la) profesional universitario responsable del SG-SST: Actualiza y verifica el cumplimiento de los requisitos legales vigentes mensualmente en la Matriz legal de SST
Periodicidad del control: Trimestral
Propósito del control: Prevenir la materialización de riesgos por incumplimiento legal en SST
Cómo se ejecuta el control: Revisa la normativa nacional (SST y RL), actualiza la matriz legal, analiza e informa a toda a los responsables para su aplicación y dar cumplimiento, valida que los responsables apliquen la normatividad vigente y notifica el posible incumplimiento
Qué pasa con las observaciones o desviaciones del control: Notifica el posible incumplimiento de un requisito legal en SST 
Evidencias o soportes de la ejecución del control: Matriz legal SST, correo electrónico notificando la actualización del normograma de la Agencia, entre otros </t>
  </si>
  <si>
    <t>Por sanción y/o multa</t>
  </si>
  <si>
    <t>Debido al incumplimiento legal de los requisitos del Sistema de Gestión de Seguridad y Salud en el Trabajo (SG-SST)</t>
  </si>
  <si>
    <t>Debido a liquidaciones
inexactas de la nómina o de las liquidaciones finales o fallas en la legalización del acto
administrativo</t>
  </si>
  <si>
    <t>Por reclamos de los servidores públicos</t>
  </si>
  <si>
    <t>Posibilidad de afectación económica por reclamos de los servidores debido a liquidaciones inexactas de la nómina o de las liquidaciones finales o fallas en la legalización del acto
administrativo</t>
  </si>
  <si>
    <t>El(la) coordinador(a) del grupo interno de trabajo de gestión de talento humano: Hará validaciones aleatorias de los conceptos liquidados en la nómina o de liquidaciones finales y de los actos administrativos
Periodicidad del control: Trimestral
Propósito del control: Prevenir las posibles reclamaciones de los servidores públicos por conceptos liquidados en la nómina o de liquidaciones finales y de los actos administrativos
Cómo se ejecuta el control: Valida aleatoriamente los conceptos liquidados en la nómina o de liquidaciones finales y de los actos administrativos de los servidores públicos
Qué pasa con las observaciones o desviaciones del control: 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Evidencias o soportes de la ejecución del control: Correo electrónico, acta, memorando, acto administrativo, itop, entre otros</t>
  </si>
  <si>
    <t xml:space="preserve">Por revocatoria de nombramiento y sanciones disciplinarias </t>
  </si>
  <si>
    <t>Debido al incumplimiento en la verificación y  certificación de requisitos exigidos para el desempeño del empleo público</t>
  </si>
  <si>
    <t>Por sanción, multa o penalidad</t>
  </si>
  <si>
    <t>Ocasionada por la indebida supervisión de los contratos o convenios suscritos</t>
  </si>
  <si>
    <t>El(la) coordinador(a) del grupo interno de trabajo de gestión contractual: Gestiona la capacitación a los supervisores en normatividad y regulación interna, en cuanto a las funciones del supervisor de contratos o convenios
Periodicidad del control: Anual
Propósito del control: Prevenir la indebida supervisión de los contratos o convenios suscritos, acorde con la  normatividad y regulación interna, en cuanto a las funciones del supervisor, entre otros 
Cómo se ejecuta el control: Gestiona la capacitación a los supervisores de contratos y convenios sobre normatividad vigente y posibles riesgos y/o afectaciones en el ejercicio de la supervisión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</si>
  <si>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t>El(la) coordinador(a) del grupo interno de trabajo de gestión contractual y el equipo de trabajo: Gestiona la capacitación a los estructuradores de procesos contractuales en matriz de riesgos y garantías
Periodicidad del control: Semestral
Propósito del control: Prevenir la posibilidad de incumplimiento en los requisitos de ejecución de contratos y convenios en la fase precontractual  
Cómo se ejecuta el control: Gestiona la capacitación a los estructuadores de procesos contractuales sobre matriz de riesgos y garantías de contratos y convenios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</si>
  <si>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t xml:space="preserve">El(la) coordinador(a) del grupo interno de trabajo de gestión contractual: Realiza la verificación del cargue de los informes de seguimiento de contratos y convenios en SECOP II para pagos en SIIF Nación
Periodicidad del control: Trimestral 
Propósito del control: Validar la gestión de cargue de los informes de seguimiento de contratos y convenios por parte de los supervisores  en SECOP II para aprobación de los pagos en SIIF Nación
Cómo se ejecuta el control: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Qué pasa con las observaciones o desviaciones del control: Informa al jefe inmediato del supervisor del contrato o convenio para la toma de acciones correctivas frente a la situación presentada 
Evidencias o soportes de la ejecución del control: Base de datos generada en SIIF o información registrada en SECOP II </t>
  </si>
  <si>
    <t xml:space="preserve">El(la) ordenador(a) del gasto, el(la) director(a) general, los directores técnicos, y el(la)
coordinador(a) del grupo interno de trabajo de gestión contractual: Realiza seguimiento a la supervisión de contratos y convenios suscritos 
Periodicidad del control: Trimestral 
Propósito del control: Prevenir la posibilidad de afectación por sanción, multa o penalidad ocasionada por la indebida supervisión de los contratos o convenios suscritos 
Cómo se ejecuta el control: A través de reuniones con los supervisores se verifica el avance en la ejecución de los contratos y convenios para el cumplimiento de la totalidad de las obligaciones y la generación de análisis de recomendaciones cuando haya lugar acorde con lo evidenciado 
Qué pasa con las observaciones o desviaciones del control: Se analizan  las novedades presentadas en el ejercicio de la supervisón para tomar las medidas respectivas, escalando a la instancia correspondiente y evitar la la indebida supervisión de los contratos o convenios suscritos
Evidencias o soportes de la ejecución del control: Acta de reunión, ayuda de memoria, control de asistencia con temas propuestos y discutidos, comunicación, correo electrónico, entre otros   </t>
  </si>
  <si>
    <t>Por una sanción de las autoridades disciplinarias, fiscales y/o penales competentes</t>
  </si>
  <si>
    <t>Ocasionado por la destinación indebida de los recursos asignados a contrapartida</t>
  </si>
  <si>
    <t xml:space="preserve">Queja y/o sanción por las autoridades disciplinarias competentes </t>
  </si>
  <si>
    <t>Debido a la desarticulación con actores nacionales, territoriales o cooperantes en la  ejecución de los Intercambios Col-Col</t>
  </si>
  <si>
    <t xml:space="preserve">Por una queja y/o sanción de las autoridades disciplinarias competentes </t>
  </si>
  <si>
    <t xml:space="preserve">El(la) coordinador(a) del grupo interno de trabajo de apoyos financieros de cooperación internacional: Revisa y ajusta, y el(la) profesional implementa el Manual para la asignación de recursos de Contrapartida Nacional
Periodicidad del control: Se realiza una vez al año
Propósito del control: Mantener actualizado el Manual para la Asignación de Recursos de Contrapartida Nacional para su cumplimiento según las lecciones aprendidas
Cómo se ejecuta el control: Revisa y ajusta el manual teniendo en cuenta las lecciones aprendidas en la vigencia anterior. Aprueba por el Comité de Contrapartidas. Socializa y publica en el aplicativo tecnológico de Brújula
Qué pasa con las observaciones o desviaciones del control: 
Revisan las recomendaciones, ajustan el Manual y se pone a consideración del Comité de Contrapartidas para aprobación, posterior socialización y publicación
Evidencias o soportes de la ejecución del control: Manual de contrapartidas actualizado y publicado en Brújula. Acta de aprobación por el Comité de Contrapartida. Correo electrónico o control de asistencia o publicación en Mi Agencia para la socialización
</t>
  </si>
  <si>
    <t xml:space="preserve">El(la) profesional especializado(a): Verifica el cumplimiento de todos los requisitos definidos en la ficha de evaluación del proyecto
Periodicidad del control: Se realiza de manera mensual hasta que culmine la fase de formulación de iniciativas
Propósito del control: Controla que las iniciativas radicadas cumplan con los criterios técnicos y financieros para su evaluación favorable
Cómo se ejecuta el control: Para la lidentificación de proyectos, se socializa el Manual de Contrapartida Nacional con las partes interesadas en presentar proyectos. Revisión del proyecto por parte del equipo técnico (enlace, abogado y profesional con conocimiento en finanzas). Se envía comunicación a los solicitantes con las observaciones y ajustes requeridos. El equipo técnico emite concepto técnico y evaluación del proyecto
Qué pasa con las observaciones o desviaciones del control: Informa al solicitante, se reciben documentos con los ajustes requeridos, y se realiza nueva revisión del proyecto 
Evidencias o soportes de la ejecución del control: Correo electrónico, oficio, formato de revisión de proyectos, formato de concepto técnico y calificación, firmados por el equipo técnico </t>
  </si>
  <si>
    <t xml:space="preserve">El Comité de Contrapartida Nacional aprueba la cofinanciación de los proyectos, que cumplan los requisitos establecidos
Periodicidad del control: Se realiza de manera mensual, una vez las iniciativas culminen la fase de formulación
Propósito del control : Controlar que las iniciativas que se presentan al Comité de Contrapartida cumplan el requisito de aprobación por la instancia competente para su confinanciación. 
2. Cómo se ejecuta el control: La Secretaría técnica del Comité de Contrapartida cita al Comité, presentando los proyectos cuyo concepto técnico sea favorable y con puntaje mayor o igual a 80 puntos. El enlace del proyecto realiza la presentación ante el Comité. El comité decide de manera unánime sobre cuales proyectos se cofinancian
Qué pasa con las observaciones o desviaciones del control: Las solicitudes son informadas a través de oficio sobre la no aprobación del proyecto, y se devuelven los documentos radicados. Si el Comité solicita ajustes al proyecto, se comunican al enlace del proyecto para informar a los proponentes y recibir los ajustes requeridos
Evidencias o soportes de la ejecución del control: Acta de comité de Contrapartida, oficio y correo electrónico
</t>
  </si>
  <si>
    <t>El(la) profesional delegado(a) supervisa a los proyectos cofinanciados con recursos de contrapartida
Periodicidad del control: Mensual, una vez se firmen los Convenios y/o Contratos
Propósito del control: Verifica a través del seguimiento contractual que los ejecutores cumplan las obligaciones contractuales técnicamente y se destinen correctamente los recursos públicos
Cómo se ejecuta el control: El(la) supervisor(a) designado(a) para el proyecto revisa el estado en SECOP.  Verifica la aprobación de pólizas, y realiza acta de inicio en los casos que aplique. Realiza control y seguimiento a la ejecución del proyecto de acuerdo con lo establecido en el convenio y la normatividad vigente. Elabora informes mensuales de seguimiento. El(la) Director(a) técnico(a) y el(la) Asesor(a) responsable del proceso, realizan reuniones mensuales de control y seguimiento a la ejecución de los convenios hasta la liquidación 
Qué pasa con las observaciones o desviaciones del control: Se informa a la Dirección Admministrativa y Financiera sobre las posibles irregularidades e incumplimientos del convenio
6. Evidencias o soportes de la ejecución del control: Informe de supervisión,  SECOP II</t>
  </si>
  <si>
    <t>El(la) coordinador(a) del grupo interno de trabajo de apoyos financieros para la cooperación internacional: Hace seguimiento a la supervisión contractual de los convenios suscritos para proyectos con cofinanciación aprobada
Periodicidad del plan: Mensual
Propósito del plan: Que los supervisores desarrollen sus actividades de control técnica y financiera de manera oportuna, adecuada y pertinente
Cómo se ejecuta el plan: A través de reuniones y correos electrónicos
Qué pasa con las observaciones o desviaciones del plan: Genera un reporte a la Directora técnica coordinación interinstitucional de cooperación internacional 
6- Evidencias o soportes de la ejecución del plan: Control de asistencia, correo electrónico y/o memorando (en caso de presentar una observación o desviación)</t>
  </si>
  <si>
    <t>El(la) coordinador(a) del grupo interno de trabajo de gestión financiera: Valida el cumplimiento de los lineamientos establecidos (protocolo)
Periodicidad del control: Trimestral
Propósito del control: Prevenir la indebida actuación frente al manejo de los recursos depositados en las cuentas bancarias autorizadas 
Cómo se ejecuta el control: Cada vez que se realiza una transacción de pago con recursos depositados en las  cuentas bancarias autorizadas se debe cumplir con los lineamientos establecidos (protocolo)
Qué pasa con las observaciones o desviaciones del control: Cualquier solicitud a la entidad bancaria que implique cambios en la plataforma de pagos o que no se encuentre dentro del protocolo establecido, debe ser firmada por el representante legal de la Agencia
Evidencias o soportes de la ejecución del control: Protocolo, comprobante de pagos a través de la plataforma bancaria, solicitud de pago al banco, entre otros</t>
  </si>
  <si>
    <t>El(la) profesional con funciones de central de cuentas del proceso de gestión financiera: Realiza conciliaciones bancarias a corde con lo establecido en el procedimiento de elaboración de estados financieros 
Periodicidad del control: Trimestral
Propósito del control: Prevenir la indebida actuación frente al manejo de los recursos depositados en las cuentas bancarias autorizadas 
Cómo se ejecuta el control: Verifican los saldos de los extractos bancarios y de las cuentas contables y bancarias en el aplicativo SIIF Nación, identificando las diferencias si las hubiere para realizar los ajustes contables correspondientes 
Qué pasa con las observaciones o desviaciones del control: En caso de no realizarse la conciliación bancaria en los tiempos establecidos, el profesional especializado con funciones de contador de la Agencia identifica las razones de la no conciliación, por parte del reponsable de la función y procede a su realización
Evidencias o soportes de la ejecución del control: Formato de conciliación bancaria con soportes</t>
  </si>
  <si>
    <t xml:space="preserve"> Posibilidad de
afectación económica y reputacional, por revocatoria de nombramiento y sanciones disciplinarias, debido al incumplimiento en la verificación y certificación de requisitos exigidos para el desempeño del empleo público</t>
  </si>
  <si>
    <t>Posibildad de afectación económica y reputacional, por una sanción de las autoridades disciplinarias, fiscales y/o penales competentes, ocasionada por la destinación indebida de los recursos asignados a contrapartidas</t>
  </si>
  <si>
    <t xml:space="preserve">Por la posibilidad de afectación económica y reputacional, por sanción, multa o penalidad, ocasionada por la indebida supervisión de los contratos o convenios suscritos </t>
  </si>
  <si>
    <t>Posibilidad de afectación económica y reputacional, por la reclamación del donante, debido a la ausencia del seguimiento frente a la entrega final de la donación realizada por el donante</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</si>
  <si>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</si>
  <si>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El(la) profesional asignado(a) a desarrollar las actividades necesarias para la canalización de donaciones en especie: Verifica los documentos entregados por el donante (carta de intención y anexos) antes y durante el proceso, donde se indentifica la entidad  beneficiaria de la donación y se realiza la validación de los antecedentes y reconocimiento de bienes lícitos e ilícitos
Periocidad del control: Cada vez que llegue una donación 
Propósito del control: Prevenir la posibilidad de afectación a la Agencia por el ingreso de bienes ilícitos, y Grarantizar la entrega de los bienes a los beneficiarios finales definidos por voluntad del donante 
Cómo se ejecuta el control: A través de reuniones con los donantes y beneficiarios finales para hacer seguimiento en el proceso de la donación. De igual forma, a los seis (6) meses de entregados los bienes se les solicitará un informe ejecutivo con el impacto que ha generado la donación en la población específica 
Qué pasa con las observaciones o desviaciones del control: Se analizan  las novedades presentadas en el ejercicio de la supervisón para tomar las medidas respectivas, escalando a la instancia correspondiente y evitar la indebida supervisión de los contratos o convenios suscritos
Evidencias o soportes de la ejecución del control: Acta de reunión, acta de ingreso, acta de salida, ayuda de memoria, control de asistencia con temas propuestos y discutidos, comunicación, correo electrónico e informe de ejecución</t>
  </si>
  <si>
    <t xml:space="preserve">El(la) profesional asignado(a) a desarrollar las actividades necesarias para la canalización de donaciones en especie: Solicita al donante que, en cada comunicación enviada antes y durante el proceso de la canalización de la donación mencione claramente el nombre o razón social de la entidad beneficiaria de la donación con NIT y datos específicos como: Ciudad, Dirección, Teléfonos
Periodicidad del plan: Cada vez que llegue una donación 
Propósito del plan: Mítigar aún más la posibilidad de afectación a la Agencia por el ingreso de bienes ilícitos  
Qué pasa con las observaciones o desviaciones del plan: Teniendo en cuenta la experiencia del procedimiento de canalización de donaciones en especie, se analizan las novedades presentadas en el ejercicio de la supervisón para tomar las medidas respectivas
Evidencias o soportes de la ejecución del plan: Acta de reunión, acta de ingreso, acta de salida, ayuda de memoria, control de asistencia con temas propuestos y discutidos, comunicación, correo electrónico e informe de ejecución, comunicación
</t>
  </si>
  <si>
    <t>El(la) coordinador(a) del grupo interno de trabajo de gestión de talento humano: Expide certificación de cumplimiento de requisitos y verifica los antecedentes disciplinarios, policiales y fiscales, antes del nombramiento del aspirante en el cargo público
Periodicidad del control: Trimestral
Propósito del control: Asegurar el cumplimiento de los requisitos para el nombramiento en el cargo público  
Cómo se ejecuta el control: 
Consulta, imprime y archiva en la historia laboral, los certificados generados por las entidades de control y vigilancia, y Verifica el manual de funciones para el cargo en cuanto a formación y experiencia exigida, confrontando con los soportes aportados por el aspirante 
Qué pasa con las observaciones o desviaciones del control: En caso que el aspirante no cumpla con los requisitos o lo inhabiliten, se informa al Director(a) Administrativo(a) y Financiero(a) para continuar con el proceso de provisión del cargo con otros aspirantes
Evidencias o soportes de la ejecución del control: Certificado de cumplimiento de requisitos para el desempeño del cargo, y de antecedentes generados por los órganos de control</t>
  </si>
  <si>
    <t>¿Generar perdida de confianza de la entidad , afectando su reputación?</t>
  </si>
  <si>
    <t>Por expedición de Constancia de Proyecto o Certificado de Utilidad Común para recursos que no corresponden a Ayuda Oficial al Desarrollo (AOD)</t>
  </si>
  <si>
    <t>Identificación y priorización de cooperacion internacional</t>
  </si>
  <si>
    <t>Debido a debilidades en el proceso de validación de la información y los documentos soporte</t>
  </si>
  <si>
    <t>Posibilidad de afectación reputacional, por expedición de Constancias de registro de proyecto o Certificado de utilidad común para recursos que no corresponden a Ayuda Oficial al Desarrollo (AOD), debido a debilidades en el proceso de validación de la información y los documentos soporte</t>
  </si>
  <si>
    <t>Los profesionales de la Dirección de gestión de demadna de cooperación internacional: Validaran con los cooperantes la vigencia de los proyectos de cooperación que sean objeto de solicitud de CUC en caso de tener dudas sobre el origen de los recursos de cooperación, con el propósito de confirmar la procedencia de los recursos y garantizar el registro de información confiable
Periodicidad del plan: Trimestral
Propósito del plan: Confirmar la procedencia de los recursos y garantizar el registro de información confiable
Cómo se ejecuta el plan: Se hará envio de correos electrónicos solicitando la confirmación de la vigencia de los documentos entregados por un usuario de CUC
Qué pasa con las observaciones o desviaciones del plan: En caso que el cooperante no de respuesta, se dará respuesta negativa al usuario explicando la situación
Evidencias o soportes de la ejecución del plan: Correo enviado a los cooperantes</t>
  </si>
  <si>
    <t>Las(los) coordinadores(ras) de los equipos de cooperación bilateral y multilateral: Validarán la información registrada en las constancias de registro de proyectos y los certificados de utilidad común contra la información registrada en el Sistema de Información CICLOPE antes de firmar estos documentos con el propósito de garantizar que la información sea confiable y corresponda con los soportes documentales existentes. Para esto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bimestralmente
Periodicidad del control: Trimestral
Propósito del control: Hacer una validación final de la información registrada en el sistema y la registrada en las constancias de proyectos y en los CUC
Cómo se ejecuta el control: Los(las) coordinadores(ras)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Qué pasa con las observaciones o desviaciones del control: Por diferencias en la información o errores en su registro, los((las) coordinadorres(ras) rechazarán el documento y solicitarán su corrección
Evidencias o soportes de la ejecución del control: Matriz de seguimiento a CUC</t>
  </si>
  <si>
    <t>Los profesionales de la Dirección de gestión de demanda de cooperación internacional: Verificarán permanentemente la calidad de la información de los proyectos registrados en Ciclope por parte de las personas técnicas del equipo de trabajo de CUC, y Validarán que la información coincida con los soportes documentales, con el propósito de garantizar que la información registrada en el sistema de información y en los formatos de constancia de registro y CUC coincidan plenamente; el resultado de esta validación se registrará en la matriz de seguimiento a CUC que será consolidada bimestralmente como evidencia de la implementación del control
Periodicidad del control: Bimestral
Propósito del control: Garantizar que la información registrada en el sistema de información y en los formatos de constancia de registro y CUC coincidan plenamente
Cómo se ejecuta el control: Los profesionales validarán y constrastarán la información registrada en el sistema como paso previo a la generación de la constancia de registro o certificado de utilidad común
Qué pasa con las observaciones o desviaciones del control: Los profesionales deberan hacer las correcciones directamente en el sistema información y en la constancia de registro o el CUC según corresponda
Evidencias o soportes de la ejecución del control: Reporte de la validación en la matriz de seguimiento a CUC</t>
  </si>
  <si>
    <t>Ítem</t>
  </si>
  <si>
    <t xml:space="preserve">Fecha </t>
  </si>
  <si>
    <t>Tener en cuenta las seis (6) variables para la redacción y el diseño del control:
1- Responsable
2- Periodicidad
3- Propósito
4- Cómo se ejecuta
5- Qué pasa con las observaciones o desviaciones
6- Evidencias o soportes de la ejecución del control</t>
  </si>
  <si>
    <t xml:space="preserve">Criterios
</t>
  </si>
  <si>
    <t>(dd/mm/aaaa)</t>
  </si>
  <si>
    <t xml:space="preserve">Frecuencia </t>
  </si>
  <si>
    <t>Con la cual el proceso realiza la actividad</t>
  </si>
  <si>
    <t>Clasificación</t>
  </si>
  <si>
    <t>Riesgo</t>
  </si>
  <si>
    <t>Económico y/o Reputacional</t>
  </si>
  <si>
    <t>Zona criterio de corrupción</t>
  </si>
  <si>
    <t>Causa inmediata</t>
  </si>
  <si>
    <t>Causa raíz</t>
  </si>
  <si>
    <t xml:space="preserve">Causa principal o básica,
corresponde a las razones por la cuales
se puede presentar el riesgo.
Una razón o razones  por lo que ocurrió. </t>
  </si>
  <si>
    <t>Circunstancias bajo
las cuales se presenta el riesgo, pero no constituyen la causa principal o base para que se presente el riesgo.
Lo que puede ocurrir. 
Por ejemplo, por sanción, o multa o penalidad entre otras</t>
  </si>
  <si>
    <t>Es necesario  tener en cuenta los componentes así: Acción u omisió + Uso del poder + Desviación  de lo público + beneficio privado</t>
  </si>
  <si>
    <t>Descripción de riesgo</t>
  </si>
  <si>
    <t xml:space="preserve">Tener en cuenta las seis (6) variables para la redacción y el diseño del 
control:
1- Responsable
2- Periodicidad
3- Propósito
4- Cómo se ejecuta 
5- Qué pasa con las observaciones o desviaciones
6- Evidencias o soportes de la ejecución del plan
Acciones que se formulan para mitigar el nivel del riesgo residual (riesgos de gestión y de corrupción).
Nota: El plan de acción acá referido es diferente a un plan de contingencia, el
cual se enmarca dentro del Plan de Continuidad de Negocio y se consideraría
un control correctivo.
 </t>
  </si>
  <si>
    <t xml:space="preserve">Criterios impacto
Económico y/o Reputacional
</t>
  </si>
  <si>
    <t>El usuario revisa el desplegable y analiza cual sería de las afectaciones que muestra</t>
  </si>
  <si>
    <t>Calificación 
Automática</t>
  </si>
  <si>
    <t>Probabilidad Residual Final
Automática</t>
  </si>
  <si>
    <t>Pérdida, desvió y/o destinación indebida de los recursos asignados a la caja menor</t>
  </si>
  <si>
    <t>Debido al incumplimiento de los lineamientos establecidos por la Agencia para la administración d ela caja menor</t>
  </si>
  <si>
    <t>Posibilidad de afectación económica, por pérdida, desvió y/o destinación indebida de los recursos asignados a la caja menor,  Debido al incumplimiento de los lineamientos establecidos por la Agencia para la administración de la caja menor</t>
  </si>
  <si>
    <t>El cuentadante de la caja menor: Aplica los lineamientos establecidos por la Agencia para la administración de la caja menor
Periodicidad del control: Cada vez que se efectúan gastos por este medio
Propósito del control: Cumplir con los lineamientos establecidos por la Agencia para la administración de la caja menor 
Cómo se ejecuta el control: Revisa
que los gastos a ejecutar por este medio, cumplan con los requisitos establecidos en dichos lineamientos. Todos los gastos deben estar autorizados por el Ordenador del Gasto, de lo contratio no se realiza ninguna compra por la caja menor
Qué pasa con las observaciones o desviaciones del control: Reportar al respectivo superior jerárquico de la Agencia, el estado de la administración  de la caja menor
Evidencias o soportes de la ejecución del control: Formato de arqueo de caja menor (en caso de realizarse), resolución de constitución de la caja menor, soportes de legalizaciones de gastos de caja menor, entre otros</t>
  </si>
  <si>
    <t xml:space="preserve"> Afectación Económica (o presupuestal)</t>
  </si>
  <si>
    <t>Afectación Pérdida Reputacional</t>
  </si>
  <si>
    <t>Nivel</t>
  </si>
  <si>
    <t xml:space="preserve">                                                                            </t>
  </si>
  <si>
    <t xml:space="preserve"> Mapa de Riesgos</t>
  </si>
  <si>
    <t>Conmutador (57 60 1) 601 24 24</t>
  </si>
  <si>
    <t>www.apccolombia.gov.co</t>
  </si>
  <si>
    <t xml:space="preserve">1/1
</t>
  </si>
  <si>
    <t xml:space="preserve">Carrera 10 No. 97A-13, Piso 6, Torre A, Bogotá - Colombia      
</t>
  </si>
  <si>
    <t xml:space="preserve">Carrera 10 No. 97A-13, Piso 6, Torre A, Bogotá - Colombia   </t>
  </si>
  <si>
    <t xml:space="preserve">Conmutador (57 60 1) 601 24 24   </t>
  </si>
  <si>
    <t xml:space="preserve">Conmutador (57 60 1) 601 24 24  </t>
  </si>
  <si>
    <t xml:space="preserve">www.apccolombia.gov.co
</t>
  </si>
  <si>
    <t xml:space="preserve">Carrera 10 No. 97A-13, Piso 6, Torre A, Bogotá - Colombia  </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</si>
  <si>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</si>
  <si>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</si>
  <si>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</si>
  <si>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</si>
  <si>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</si>
  <si>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</si>
  <si>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</si>
  <si>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</si>
  <si>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</si>
  <si>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</si>
  <si>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Carrera 10 No. 97A-13, Piso 6, Torre A, Bogotá - Colombia   Conmutador (57 60 1) 601 24 24   www.apccolombia.gov.co</t>
  </si>
  <si>
    <t>Control</t>
  </si>
  <si>
    <t>Número</t>
  </si>
  <si>
    <t xml:space="preserve">El(la) asesor(a) con funciones de control interno y el equipo auditor: Verifican que en la planeación de la auditoría e informes de ley el objetivo, alcance y criterios contribuyan a la mejora del desempeño institucional
Periodicidad del control: Continua
Propósito del control: Seguimiento al cumplimiento del plan de trabajo de Control Interno
Cómo se ejecuta el control: Se verifica cada actividad planeada y su cumplimiento
Qué pasa con las observaciones o desviaciones del conrol: Se analiza la causa del incumplimiento y se reprograma,  en el caso de auditorías, se solicita  modificación del plan anual de auditoría ante el Comité Institucional de Coordinación de Control Interno
Evidencias o soportes de la ejecución del control: Matriz de seguimiento
</t>
  </si>
  <si>
    <t>El(la) asesor(a) con funciones de control interno y el equipo auditor: Actualizan el Manual de auditoría interna y el Procedimiento de auditorías internas, para incluir la documentación del control
Periodicidad del plan: Trimestrral
Propósito del plan: Actualizar el Manual de auditoría interna y el procedimiento de Auditorías internas, incluyendo la documentación necesaria del control 
Cómo se ejecuta el plan: Realizan la revisión del contenido de los documentos, hace los ajustes o modificaciones a que haya lugar y, solicita la actualización de estos en el aplicativo tecnológico Brújula y socializa en los medios que considere necesarios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auditoría interna y Pocedimiento de auditorías internas actualizados, acta de reunión, control de asistencia con temas propuestos y discutidos</t>
  </si>
  <si>
    <t>El(la) asesor(a) con funciones de control interno: Verifica que los avances presentados por el equipo auditor en el desarrollo de la auditoría e informes de ley, aportan  conclusiones, recomendaciones y hallazgos para la mejora del desempeño institucional
Periodicidad del control: Continua
Propósito del control: Valida informes por parte del equipo de Control Interno de las recomendaciones generadas, a partir de las causas que originan los hallazgos u observaciones identificadas
Cómo se ejecuta el control: Revisa en los informes la causa de cada hallazgo u observación, evidencias consultadas y la correlación con las recomendaciones formuladas
Qué pasa con las observaciones o desviaciones: Se solicita la modificación del hallazgo, observación, causas o recomendación, según lo pertinente
Evidencias o soportes de la ejecución del control: Correo electrónico</t>
  </si>
  <si>
    <t xml:space="preserve">El(la) asesor(a) con funciones de  coordinación del grupo interno de trabajo de planeación: Emite y/o socializa lineamientos para el seguimiento oportuno y articulado a la planeación institucional de la Agencia 
Periodicidad del control: Continua
Propósito del control: Contribuye a la adecuada planeación institucional y la aplicación de los lineamientos establecidos para su fin, por parte del esquema de las líneas de defensa de la Agencia
Cómo se ejecuta el control: Al inicio o en el transcurso de la vigencia generá lineamientos para atender mecanismos de autocontrol y autoevaluación por el esquema de las líneas de defensa de la Agencia
Qué pasa con las observaciones o desviaciones del control: Dependiendo del momento o tiempo que se necesite  emite lineamientos o realiza mesa de trabajo, si aplica para ajustar la planeación institucional y su seguirmiento, teniendo en cuenta directrices de gobierno, sector, alta dirección de la Agencia, solicitudes de los procesos de la Agencia
Evidencias o soportes de la ejecución del control: Lineamiento (circular, correo electrónico, comunicación, acta de reunión, control de asistencia con temas propuestos y discutidos, entre otros) </t>
  </si>
  <si>
    <t xml:space="preserve">El(la) asesor(a) con funciones de  coordinación del grupo interno de trabajo de planeación: Efectua seguimiento oportuno y articulado a la planeacion institucional, con base en los lineamientos establecidos para el esquema de las líneas de defensa de la Agencia
Periodicidad del control: Continua
Propósito del control: Contribuir a la adecuada planeación institucional y la aplicación de los lineamientos establecidos para su fin, por parte del esquema de las líneas de defensa de la Agencia
Cómo se ejecuta el control: Realiza seguimiento a los lineamientos establecidos y asegura la correspondencia entre lo planeado y lo ejecutado
Qué pasa con las observaciones o desviaciones del control: Solicita información o documentos para el seguimiento periódico o realiza mesas de trabajo con el esquema de las líneas de defensa para acompañar o asesorar y plantear los correctivos a que haya lugar frente a la ejecución de la planeación institucional
Evidencias o soportes de la ejecución del control: Informe o reporte de seguimiento, comunicación, correo electrónico, acta de reunión, control de asistencia con temas propuestos y discutidos, entre otros </t>
  </si>
  <si>
    <t xml:space="preserve">El(la) coordinador(a) del grupo interno de trabajo de gestión de servicios administrativos: Realiza balance diario de saldos de caja menor
Periodicidad del plan: Diario
Propósito del plan: Cumplir los lineamientos establecidos por la Agencia para el manejo de saldos en la caja menor
Cómo se ejecuta el plan: Revisa
los saldos de la caja menor, y Realiza el trámite correspondiente frente a estos, acorde con lo establecido por la Agencia  
Qué pasa con las observaciones o desviaciones del plan: Reportar al respectivo superior jerárquico de la Agencia, el estado de la administración  de la caja menor
Evidencias o soportes de la ejecución del plan: Comunicación, balance, entre otros </t>
  </si>
  <si>
    <t>El(la) coordinador(a) del grupo interno de trabajo de gestión financiera: Revisa y actualiza el protocolo y procedimiento 
Periodicidad del plan: Cuando se requiera 
Propósito del plan: Actualiza los documentos para revenir la indebida actuación frente al manejo de los recursos depositados en las cuentas bancarias autorizadas 
Cómo se ejecuta el plan: Realiza la revisión del contenido de los documentos, solicita la actualización de estos en el aplicativo tecnológico de Brújula y socializa en los medios que considere necesarios  
Qué pasa con las observaciones o desviaciones del plan: En caso de requerirse ajuste en el contenido de dichos documentos; realiza el análisis respectivo, plantea los ajustes necesarios y presenta nueva propuesta de solicitud para actualizarlos 
Evidencias o soportes de la ejecución del plan: Protocolo y procedimiento actualizados, entre otros</t>
  </si>
  <si>
    <t>El(la) ordenador(a) del gasto, el(la) director(a) general, los directores técnicos, y el(la)
coordinador(a) del grupo interno de trabajo de gestión contractual: Informa a la dirección general y los comités institucionales que correspondan para la toma de decisiones
Periodicidad del plan: Cada vez que sea necesario 
Propósito del plan: Prevenir la indebida supervisión de los contratos o convenios suscritos  
Cómo se ejecuta el plan: Presenta el avance y estado en la ejecución de los contratos y convenios. Así como, las novedades presentadas en  cumplimiento de la totalidad de las obligaciones para la toma de decisiones
Qué pasa con las observaciones o desviaciones del plan: Presenta concepto técnico y/o jurídico ante la dirección general y comités institucionales que corresponda para la toma de decisiones
Evidencias o soportes de la ejecución del plan: Acta de reunión, control de asistencia con temas propuestos y discutidos, entre otros</t>
  </si>
  <si>
    <t>El(la) coordinador(a) del grupo interno de trabajo de gestión de talento humano: Aplica el proceso para la revocatoria de nombramiento e investigación disciplinaria 
Periodicidad del plan: Se desarrollará durante la vigencia de forma continua
Propósito del plan: Prevenir el incmuplimiento de los requisitos y del manual de funciones para cargos públicos
Cómo se ejecuta el plan: Notifica por acto administrativo y comunicación de las acciones a las que haya lugar   
Qué pasa con las observaciones o desviaciones del plan: En caso de requerirse, el(la) responsable de atender los disciplinarios procederá de acuerdo con lo establecido en la normatividad  vigente 
Evidencias o soportes de la ejecución del plan: Comunicación, acto administrativo, entre otros</t>
  </si>
  <si>
    <t>El(la) ordenador(a) del gasto, el(la) director(a) general, los directores técnicos, y el(la)
coordinador(a) del grupo interno de trabajo de gestión contractual: Informa a la dirección general y comités institucionales que corresponda para la toma de decisiones
Periodicidad del plan: Cada vez que sea necesario 
Propósito del plan: Prevenir la indebida supervisión de los contratos o convenios suscritos  
Cómo se ejecuta el plan: Presenta el avance y estado en la ejecución de los contratos y convenios. Así como, las novedades presentadas en  cumplimiento de la totalidad de las obligaciones para la toma de decisiones
Qué pasa con las observaciones o desviaciones del plan: Presenta concepto técnico y/o jurídico ante la dirección general y comités institucionales que corresponda para la toma de decisiones
Evidencias o soportes de la ejecución del plan: Acta de reunión, control de asistencia con temas propuestos y discutidos, entre otros</t>
  </si>
  <si>
    <t>NA</t>
  </si>
  <si>
    <t>El(la) asesor(a) con funciones de gestión jurídica: Brinda herramientas para la formulación e implementación de la  Política de prevención del daño antijurídico (PPDA)
Periodicidad del control: Trimestral
Propósito del control: Busca implementar la PPDA en la Agencia y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Cómo se ejecuta el control: A través de tres (3) mecanismos definidos en el plan de acción de la Política de prevención del daño antijurídico a implamentar (mesa de trabajo interinsiitucional, espacio de conocimiento con supervisores de contratos, y conversatorio dirigido al grupo interno de trabajo de Gestión de talento humunao con la CNSC y DAFP) 
Qué pasa con las observaciones o desviaciones: De identificarse algún mecanismo definido en el plan de acción de la política de prevención del daño antijurídico, que no se cumpla, se reprogramará durante la vigencia 
Evidencias o soportes de la ejecución del control: Acta de reunión, acta del comité, control de asistencia con temas propuestos y discutidos, presentación, entre otros</t>
  </si>
  <si>
    <t>El(la) coordinador(a) del grupo interno de trabajo de gestión contractual y el equipo de trabajo: Ajusta los temas a capacitar y/o reprograma la capacitación; en caso de no surtirse el ajuste y/o corrección en los estudos previos, garantías y de los regsistros presupuestales, se escala a las instancias correspondientes para análisis y toma de decisiones;  
Periodicidad del plan: Cuando se requiera
Propósito del plan: Prevenir la posibilidad de incumplimiento en los requisitos de ejecución de contratos y convenios en la fase precontractual  
Cómo se ejecuta el plan: Gestiona la capacitación a los estructuadores de procesos contractuales sobre matriz de riesgos y garantías de contratos y convenios, se solicita surtirse el ajuste y/o corrección en los estudos previos, garantías y de los regsistros presupuestales 
Qué pasa con las observaciones o desviaciones del plan: Cuando aplique se realiza ajustes necesarios frente a los temas a capacitar y/o reprograma la capacitación; ajuste y/o corrección en los estudos previos, garantías y de los regsistros presupuestales  
Evidencias o soportes de la ejecución del plan: Propuesta de nuevos temas a capacitar, invitación, correo electrónico, actas de reunión, controles de asistencia con temas propuestos y discutidos, entre otros</t>
  </si>
  <si>
    <t xml:space="preserve">     Afectación menor a 10 SMLMV .</t>
  </si>
  <si>
    <t xml:space="preserve">Debido al incumplimiento de los terminos establecidos legalmente a las PQRSD </t>
  </si>
  <si>
    <t xml:space="preserve">Posibilidad de afectación reputacional y/o económica, por acciones constitucionales (Tutelas) y responsabilidad disciplinaria, debido al incumplimiento de los terminos establecidos legalmente a las PQRSD </t>
  </si>
  <si>
    <t xml:space="preserve">El(la) profesional responsable de las PQRSD: Realiza revisión de cumplimiento de los tiempos de trámite de la respuesta de las PQRSD, con el informe o reporte que genera el sistema de gestión documental ORFEO (indicador mensual de seguimiento a las PQRSD donde se evidencie su estado tramitado y finalizado)
Periodicidad del plan: Diario
Propósito del plan: Cumplir con los lineamientos establecidos para los tiempos de respuesta de las PQRSD recibidas en la Agencia  
Cómo se ejecuta el plan: Se ingresa a ORFEO, en el módulo de informes PQRSD, se busca por rangos de fechas, y Revisa si están tramitadas, archivadas, pendiente de tramite, entre otros
Qué pasa con las observaciones o desviaciones del plan: Informa al responsable jerárquico de la situación presentada para tomar las medicas necesarias 
Evidencias o soportes de la ejecución del plan: Correo electrónico, reporte o informe de seguimiento (tramitado y finalizado), entre otros </t>
  </si>
  <si>
    <t>Por el incumplimiento de compromisos institucionales, normatividad, demandas o  acciones disciplinarias</t>
  </si>
  <si>
    <t>Debido a inadeacuada custodia, ingreso salida e inoportuna gestión y registro en el sistema ocasiona pérdida o daño de los bienes de la Agencia</t>
  </si>
  <si>
    <t>El(la) coordinador(a) del grupo interno de trabajo de servicios administrativos: 
Alarma programada en el sistema de gestión documental ORFEO para recordar a los servidores públicos responsables de tramitar, o apoyar en la respuesta o con insumos para las PQRSD  
Periodicidad del control: Diaria
Propósito del control: Revisar que las alarmas (semáforo) sean generadas por ORFEO a los servidores públicos responsables de tramitar, o apoyar en la respuesta o con insumos para las PQRSD, dentro de los tiempos establecidos
Cómo se ejecuta el control: Revisa la alarma de recordatorio (notificación de vencidos de radicadas) a los responsables de tramitar, o apoyar en la respuesta o con insumos para las PQRSD  
Qué pasa con las observaciones o desviaciones del control: Cuando se presente alguna novedad frente a la notificación de la alarma, informa al proceso de gestión de tecnologías de la información, a través de correo institucional o itop para ser revisado y solucionado 
Evidencias o soportes de la ejecución del control: Lineamiento (circular, resolución, comunicación), reporte o informe de seguimiento (tramitado y finalizado)</t>
  </si>
  <si>
    <t xml:space="preserve">El(la) funcionario(a) responsable: Implementa y apliqua la debida restricción de ingreso o permanencia de personas o elementos al archivo central de la Agencia, sin previa autorización
Periodicidad del control: Diaria
Propósito del control: Aplica los lineamientos establecios por la Agencia para pérdida de información, documentos, expedientes que pueden ser sustraidos sin autorización ni control de prestamo 
Cómo se ejecuta el control: Realiza permanente control de ingreso o permanencia al archivo central de la Agencia, tanto de personas como de elementos, asegura que siempre permanezca cerrado y con llave, cuente con letreros de prohibición, entre otros  
Qué pasa con las observaciones o desviaciones: Al presentarse una novedad de ingreso de personas o elementos no autorizados u otra situación frente al tema, Informa  inmediatamente al superior jerárquico de la situación presentada para seguir instrucciones
Evidencias o soportes de la ejecución del control: Lineamiento, formato, correo electrónico, registro fotográfico, entre otros </t>
  </si>
  <si>
    <t>El(la) coordinador del grupo interno de trabajo de gestión de servicios administrativos: Realiza trimestralmente inspecciones a las bodegas para validar su estado y verificar el almacenamiento en estas
Periodicidad del plan: Trimestral
Propósito del plan: Asegurar que dichos sitios están siendo utilizados para su propósito y cuentan con las condiciones necesarios para ello
Cómo se ejecuta el plan: Revisa las condiciones fisicas de las bodegas y valida la clase de elementos contenidos en estas, frente a los lineamientos establecidos por la Agencia para el tema 
Qué pasa con las observaciones o desviaciones del plan: Informa al responsable jerárquico de la situación presentada para tomar las medicas necesarias 
Evidencias o soportes de la ejecución del plan: Reporte o informe de inspecciones, registro fotográfico, relación de elementos almacenados en las bodegas, entre otros</t>
  </si>
  <si>
    <t>El(la) coordinador del grupo interno de trabajo de gestión de servicios administrativos: Revisa y actualiza los  lineamientos establecidos en el Manual  de archivo y correspondencia, asegurando la correspondencia de las actividades propias de gestión documental
Periodicidad del plan: Trimestral
Propósito del plan: Actualizar el Manual incluyendo la documentación necesaria de los controles para evitar pérdida de informacón, documentos, expedientes o carpetas de la Agencia
Cómo se ejecuta el plan: Realiza la revisión del contenido de los documentos, hace los ajustes o modificaciones a que haya lugar y, solicita la actualización de estos en el aplicativo tecnológico Brújula y socializa en los medios que considere necesarios con las partes interesadas y grupos de valor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archivo y correspondencia actualizado, acta de reunión, control de asistencia con temas propuestos y discutidos, entre otros</t>
  </si>
  <si>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Verifican previamente cada uno de los ítems de la donación teniendo en cuenta sus cualidades y especificaciones técnicas
Periocidad del control: Cada vez que llegue una donación 
Propósito del control: Prevenir la posibilidad de afectación a la Agencia por el incumplimiento de los ítems de la donación 
Cómo se ejecuta el control: Mediante la revisión de cada uno de los ítems para cada donación, teniendo en cuenta sus cualidades y especificaciones técnicas
Qué pasa con las observaciones o desviaciones del control: Se analizan  las novedades presentadas en el ejercicio de la revisión para tomar las medidas respectivas, escalando a la instancia correspondiente y evitar la indebida recepción de la donación 
Evidencias o soportes de la ejecución del control: ítems, comunicación, correo electrónico, entre otros </t>
  </si>
  <si>
    <t xml:space="preserve">El(la) profesional asignado(a) a desarrollar las actividades necesarias para la canalización de donaciones en especie: Solicita el ajuste a la factura no comercial donde se relacionen los insumos enviados (cantidades, referencias) y las especificaciones correctas de la mercancia
Periocidad del control: Cada vez que se requiera  
Propósito del control: Prevenir la posibilidad de afectación a la Agencia por la incorrecta información contenida en la factura no comercial 
Cómo se ejecuta el control: Revisa la información registrada en los campos de la factura no comercial (insumos enviados, cantidades, referencias, especificaciones de la mercancia, entre otros)
Qué pasa con las observaciones o desviaciones del control: Se analizan  las novedades presentadas en el ejercicio de la revisión para tomar las medidas respectivas, escalando a la instancia correspondiente y evitar la indebida recepción de la factura no comercial  
Evidencias o soportes de la ejecución del control: Factura, comunicación, correo electrónico, entre otros </t>
  </si>
  <si>
    <t xml:space="preserve">El(la) profesional asignado(a) a desarrollar las actividades necesarias para la canalización de donaciones en Especie: Solicita una comunicación oficial en la cual se enumeren los ítems a adquirir con sus cantidades y sus especificaciones incluidos en el certificado de donación
Periocidad del control: Cada vez que se requiera para trámite de la donación  
Propósito del control: Prevenir la posibilidad de afectación a la Agencia por la falta de requisitos (comunicación oficial con ítems incluidos en el certificado de donación) en el trámite de la donación 
Cómo se ejecuta el control: Solicita al responsable comunicación oficial, donde relacionen y enumeren todos los ítems a adquirir, indicando cantidades y especificaciones en cada uno, incluidas en el certificado de donación
Qué pasa con las observaciones o desviaciones del control: Se analizan  las novedades presentadas en el ejercicio de la revisión para tomar las medidas respectivas, escalando a la instancia correspondiente y evitar la indebida recepción de la factura no comercial  
Evidencias o soportes de la ejecución del control: Factura, comunicación, correo electrónico, entre otros </t>
  </si>
  <si>
    <t>El(la) coordinador del grupo interno de trabajo de gestión de servicios administrativos: Revisa y actualiza los  lineamientos establecidos en el Manual  de archivo y correspondencia, asegurando la correspondencia de las actividades propias de gestión documental
Periodicidad del plan: Trimestral
Propósito del plan: Actualiza el Manual incluyendo la documentación necesaria de los controles para evitar pérdida de informacón, documentos, expedientes o carpetas de la Agencia
Cómo se ejecuta el plan: Realiza la revisión del contenido de los documentos, hace los ajustes o modificaciones a que haya lugar, solicita la actualización de estos Brújula y socializa en los medios que considere necesarios a las partes interesadas y grupos de valor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archivo y correspondencia actualizado, acta de reunión, control de asistencia con temas propuestos y discutidos, entre otros</t>
  </si>
  <si>
    <t xml:space="preserve">Por la reclamación de la DIAN y queja y/o sanción de los organismos de vigilancia y control </t>
  </si>
  <si>
    <t>Debido al incumplimiento en los requisitos para tramitar donaciones por parte de la Agencia</t>
  </si>
  <si>
    <t>Posibilidad de afectación económica y reputacional, por la reclamación de la DIAN y queja y/o sanción de los organismos de vigilancia y control, debido al incumplimiento en los requisitos para tramitar donaciones por parte de la Agencia</t>
  </si>
  <si>
    <t>El(a) profesional asignado(a) a desarrollar las actividades necesarias para la canalización de donaciones en especie: Actualiza Manual de donaciones, procedimiento, formato, entre otros
Periodicidad del plan: Trimestrral
Propósito del plan: Actualiza la documentación necesaria y asociada al proceso para que haga parte del Sistema de Gestión Integral - Brújula
Cómo se ejecuta el plan: Realiza la revisión del contenido de los documentos, hace los ajustes o modificaciones a que haya lugar, solicita la actualización de estos Brújula y socializa en los medios que considere necesarios a las partes interesadas y grupos de valor. 
Qué pasa con las observaciones o desviaciones del plan: Considerando en su actualización: Que el donante remite a la Agencia y al agente aduanero, contratado la información de la mercancia con especificaciones para realizar la declaración de importación ante la DIAN, y en caso de no coincidir lo informado con lo que se valide fisicamente la DIAN podrá asumir que la mercancia viene en calidad contrabando   
Evidencias o soportes de la ejecución del plan: Manual, procedimiento, formato actualizados, entre otros</t>
  </si>
  <si>
    <t xml:space="preserve">Por la reclamación del donante, de la DIAN y queja y/o sanción de los organismos de vigilancia y control </t>
  </si>
  <si>
    <t>Posibilidad de afectación económica y reputacional, por la reclamación del donante, de la DIAN y queja y/o sanción de los organismos de vigilancia y control, debido al incumplimiento en los requisitos para tramitar donaciones por parte de la Agencia</t>
  </si>
  <si>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Registra información correspondiente a las donaciones recibidas, verificadas y tramitadas, las digitaliza y archiva con sus soportes, y socialliza la documentación y demás a partes interesadas y grupos de valor
Periocidad del control: Cada vez que se requiera para trámite de donación  
Propósito del control: Prevenir la posibilidad de afectación a la Agencia por la falta de incumplimiento en los requisitos y lineamientos para donaciones  
Cómo se ejecuta el control: Recibe, verifica, tramita, digitaliza, archiva, registra, socializa, entre otros en los instrumentos (formatos) y aplicativos (CICLOPE, ORFEO, SOFIA, entre otros), acorde con los lineamientos establecidos por la Agencia y normatividad que aplica    
Qué pasa con las observaciones o desviaciones del control: Se analizan  las novedades presentadas en el trámite de donaciones, escalando a la instancia correspondiente y aplicando las instrucciones impartidas
Evidencias o soportes de la ejecución del control: Control o registros en cada tarea (Recibe, verifica, tramita, digitaliza, archiva, registra, socializa), entre otros </t>
  </si>
  <si>
    <t xml:space="preserve">El(a) profesional asignado(a) a desarrollar las actividades necesarias para la canalización de donaciones en especie: Control del acta de entrega de la donación al beneficiario final, teniendo en cuenta la voluntad del donante con respecto al beneficiario final 
Periocidad del control: Cada vez que se requiera para trámite de la donación  
Propósito del control: Prevenir la posibilidad de afectación a la Agencia por la falta de requisitos (acta de entrega de la donación final con sus respectivos soportes y evidencias de entrega) en el trámite de la donación 
Cómo se ejecuta el control: Se trámita y controla el acta de entrega de la donación al beneficiario final, teniendo en cuenta la voluntad del donante con respecto al beneficiario final 
Qué pasa con las observaciones o desviaciones del control: Se analizan  las novedades presentadas en el ejercicio del trámite del acta de entrega para tomar las medidas respectivas, escalando a la instancia correspondiente y evitar la indebida entrega de la donación al beneficiario final   
Evidencias o soportes de la ejecución del control: Acta de entrega, comunicación, correo electrónico, entre otros </t>
  </si>
  <si>
    <t xml:space="preserve">Posibilidad de afectación económica y reputacional, por carencia o insuficiencia de PAC, debido a que las direcciones / dependencias ejecutoras de PAC trámiten de forma inoportuna los compromisos de pago adquiridos por la Agencia  
</t>
  </si>
  <si>
    <t xml:space="preserve">El(la) profesional especializado(a) con funciones de tesorería: Gestiona las solicitudes de PAC de las direcciones / dependencias ejecutoras ante el Ministerio de Hacienda
Periodicidad del control: Trimestral
Propósito del control: Lograr tener la totalidad de los recursos disponibles para cumplir oportunamente con el pago de los compromisos adquiridos por la Agencia
Cómo se ejecuta el control: Verifica que la información consolidada por rubro de PAC de las solicitudes realizadas, corresponda con el registro de solicitudes de PAC, en el aplicativo SIIF Nación para aprobación del Ministerio de Hacienda
Qué pasa con las observaciones o desviaciones del control: En caso de no ser aprobadas las solicitudes de PAC en su totalidad o se requiera de una solicitud adicional de PAC, gestiona en SIIF Nación una nueva solicitud como  PAC extraordinario. De no ser aprobado el PAC extraordinario, se da prioridad al pago de los compromisos próximos a vencerse
Evidencias o soportes de la ejecución del control: Reporte SIIF Nación con el cargue de solicitudes al Ministerio de Hacienda, cuadro excel consolidado con las solicitudes de PAC de las direcciones / dependencias de la Agencia </t>
  </si>
  <si>
    <t>El(la) coordinador(a) del grupo interno de trabajo de gestión de talento humano: Reprocesa la nómina para los servidores a los cuales se les presentó la liquidación inexacta, una vez verificada las causas de la misma y notifica el nuevo acto adminisrativo 
Periodicidad del plan: Mensual
Propósito del plan: Corregir los conceptos liquidados en la nómina o de liquidaciones finales y de los actos administrativos
Cómo se ejecuta el control: Aplica las  correciones en los conceptos liquidados en la nómina o de liquidaciones finales y de los actos administrativos que presentaron la liquidación inexacta, una vez verificada las causas de la misma 
Qué pasa con las observaciones o desviaciones del control: 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Evidencias o soportes de la ejecución del control: Correo electrónico, acta, memorando, acto administrativo, itop, entre otros</t>
  </si>
  <si>
    <t xml:space="preserve">El(la) profesional universitario responsable del SG-SST: Seguimiento al cumplimiento del plan de trabajo anual del SG-SST
Periodicidad del plan: Mensual
Propósito del plan: Cumplir con los estandares mínimo del SG-SST que permite al recurso humano de la Agencia trabajar con condiciones seguras y saludables  
Cómo se ejecuta el plan: Ejecuta las actividades programas acorde al plan de trabajo anual del SG-SST  
Qué pasa con las observaciones o desviaciones del plan: Realiza propuesta para que sea aprobada por la Alta Dirección, en caso de requerirse ajuste en el contenido del plan de trabajo anual del SG-SST  
Evidencias o soportes de la ejecución del plan: Plan de trabajo anual del SG-SST actualizado y registros de seguimiento, entre otros </t>
  </si>
  <si>
    <t xml:space="preserve">El(la) asesor(a) con funciones de  coordinación del grupo interno de trabajo de planeación: Institucionaliza el seguimiento mediante lineamientos o instrumentos, los cuales harán parte del sistema de gestión integral de la Agencia 
Periodicidad del plan: Mensual
Propósito del plan: Emitir lineamientos para institucionalizar el seguimiento oportuno y articulado (informes o reportes), como mecanismo de autocontrol y autoevaluación para la toma de decisiones por parte del  esquema de las líneas de defensa de la Agencia 
Cómo se ejecuta el plan: Al inicio o en el transcurso de la vigencia generá lineamientos para institucionalizar el seguimiento a la planeación institucional
Qué pasa con las observaciones o desviaciones del plan: Dependiendo del momento o tiempo que se necesite  emite lineamientos para el seguimiento a la planeación institucional, teniendo en cuenta directrices de gobierno, sector, alta dirección de la Agencia, solicitudes de los procesos de la Agencia, entre otros
Evidencias o soportes de la ejecución del plan: lineamientos (circular o correo electrónico o comunicación o actas de reunión o control de asistencia con temas propuestos y discutidos, entre otros)  
</t>
  </si>
  <si>
    <t>El(la)Profesional especializado(a) con funciones de tesorería: Revisa y actualiza el Procedimiento de  administración, tesorería y pagos
Periodicidad del plan: Trimestral 
Propósito del plan: Revisar que lo que se está realizando actualmente en cuanto a pagos se encuentre conforme al procedimiento 
Cómo se ejecuta el plan: Verifica las actividades del procedimiento en cuanto a la gestión de pagos y actualiza por lo menos en el formato 
Qué pasa con las observaciones o desviaciones del plan: De no ser necesario la actualización del procedimiento en el contenido, se continuará aplicando los controles tal como está planteado en el mapa de riesgos y solo se actualiza el formato
Evidencias o soportes de la ejecución del plan: Procedimiento revisado y actualizado en formato</t>
  </si>
  <si>
    <t>El(la) profesional especializado(a) con funciones de tesorería: Realiza seguimiento a las solicitudes y  ejecución de PAC
Periodicidad del plan: Trimestral
Propósito del control: Recuerda a las direcciones / dependencias ejecutoras el trámite oportuno de los compromisos para los cuales solicitaron PAC
Cómo se ejecuta el control: Revisa en SIIF Nación la ejecución de PAC en el transcurso del mes y enviando reporte de avance por lo menos una vez durante el mismo, a las direcciones / dependencias ejecutoras para que adelanten la gestión oportuna de pagos pendientes de tramitar
Qué pasa con las observaciones o desviaciones del control: De no obtenerse el radicado de cuentas por pagar pendientes para las cuales las direcciones / dependencias solicitaron PAC, se dará trámite a aquellas que ya se encuentren radicadas en DAF, aún sin haber tenido solicitud de PAC previa
Evidencias o soportes de la ejecución del control: Correo electrónico con el envío de avance de ejecución de PAC,  Reporte de avance y ejecución de PAC</t>
  </si>
  <si>
    <t>Por pago o presentación  extemporánea de compromisos como: aportes a seguridad social, obligaciones tributarias y deducciones de nómina</t>
  </si>
  <si>
    <t xml:space="preserve">Debido a la falta de seguimiento a las fechas límite establecidas para pagos de compromisos causados por deducciones de pagos </t>
  </si>
  <si>
    <t xml:space="preserve">Posibilidad de afectación económica y reputacional, por pago o presentación  extemporánea de compromisos como: aportes a seguridad social, obligaciones tributarias y deducciones de nómina,  a la falta de seguimiento a las fechas límite establecidas para pagos de compromisos causados por deducciones de pagos </t>
  </si>
  <si>
    <t>El(a) profesional especializado(a) con funciones de tesorería: Establece un cronograma con las fechas máximas de vencimiento mensual, para los pagos de seguridad social, obligaciones tributarias y descuentos de nómina
Periodicidad del control: Trimestral 
Propósito del control: Hacer seguimiento a los plazos establecidos para dar cumplimiento con obligaciones de Ley
Cómo se ejecuta el control: Consulta los calendarios oficiales de presentación de obligaciones tributarias, pagos a seguridad social y fechas límites para pagos a terceros de descuentos de nómina y consolidar las fechas límite en un solo cronograma para su seguimiento
Qué pasa con las observaciones o desviaciones del control: En caso de ausencia del profesional especializado con funciones de tesorería, el profesional especializado con funciones de contador, revisa el cumplimiento del cronograma de estos pagos
Evidencias o soportes de la ejecución del control: Cronograma consolidado de fechas límite para estos pagos, pagos efectuados dentro de las fecha límite</t>
  </si>
  <si>
    <t>Por el incompleto o inexacto reflejo de la realidad de los hechos económicos registrados en los estados financieros de la Agencia</t>
  </si>
  <si>
    <t>Debido al registro de información sin soportes claros y precisos, y que las direcciones / dependencias y/o entidades involucradas en el proceso contable  envíen de forma inoportuna la información</t>
  </si>
  <si>
    <t xml:space="preserve">Posibilidad de afectación económica y reputacional, por
el incompleto o inexacto reflejo de la realidad de los hechos económicos registrados en los estados financieros de la Agencia, debido al registro de información sin soportes claros y precisos, y que las direcciones / dependencias y/o entidades involucradas en el proceso contable envíen de forma inoportuna la información
</t>
  </si>
  <si>
    <t>Las direcciones / dependencias ejecutoras de PAC tramiten de forma inoportuna los compromisos de pago adquiridos por la entidad.</t>
  </si>
  <si>
    <t xml:space="preserve">La actividad que conlleva el riesgo se ejecuta de 24 a 500 veces por año </t>
  </si>
  <si>
    <t>El(la) profesional especializado(a) con funciones de contador: Verifica el soporte de cada hecho económico registrado en SIIF Nación
Periodicidad del control: Trimestral 
Propósito del control: Que el registro contable de los hechos económicos de la Agencia, reflejen la realidad financiera de la entidad en su totalidad
Cómo se ejecuta el control: Verifica que  los comprobantes de contabilidad registrados en forma manual o automática, cuenten con la documentación soporte con las características exigidas por ley y/o lineamientos internos de la Agencia
Qué pasa con las observaciones o desviaciones del control: Si hace falta algún soporte para el registro de las transacciones, es solicitado al responsable respectivo ya sea interno o externo, a través de correo electrónico
Evidencias o soportes de la ejecución del control: Comprobantes de contabilidad con soportes</t>
  </si>
  <si>
    <t>El(la)Profesional especializado(a) con funciones de contador: Revisa y actualiza el Procedimiento de  elaboración estados financieros
Periodicidad del plan: Trimestal 
Propósito del plan: Revisar que lo que se está realizando actualmente en cuanto a la elaboración de estados financieros, se encuentre conforme al procedimiento
Cómo se ejecuta el plan: Verifica las actividades del procedimiento en cuanto a la elaboración de estados financieros y actualiza por lo menos en el formato
Observaciones Qué pasa con las observaciones o desviaciones del plan: De no ser necesario la actualización del procedimiento en el contenido, se continuará aplicando los controles tal como está planteado en el mapa de riesgos y solo se actualiza el formato.
Evidencias o soportes del plan: Procedimiento revisado y actualizado en formato.
Periodicidad del plan: Trimestral 
Propósito del plan: Revisar que lo que se está realizando actualmente en cuanto a pagos se encuentre conforme al procedimiento 
Cómo se ejecuta el plan: Verifica las actividades del procedimiento en cuanto a la gestión de pagos y actualiza por lo menos en el formato 
Qué pasa con las observaciones o desviaciones del plan: De no ser necesario la actualización del procedimiento en el contenido, se continuará aplicando los controles tal como está planteado en el mapa de riesgos y solo se actualiza el formato
Evidencias o soportes de la ejecución del plan: Procedimiento revisado y actualizado en formato</t>
  </si>
  <si>
    <t xml:space="preserve">Debido a la indisponibilidad de la información  necesaria y/o demora en la actualización y/o imprecisión en la información </t>
  </si>
  <si>
    <t>Por pérdida de información y/o indebida clasificación de acuerdo a la normatividad</t>
  </si>
  <si>
    <t xml:space="preserve">Posibilidad de afectación reputacional, por pérdida de información y/o indebida clasificación de acuerdo a la normatividad, debido a la indisponibilidad de la información necesaria y/o demora en la actualización y/o imprecisión en la información </t>
  </si>
  <si>
    <t>El(la) coordinador(a) del grupo interno de trabajo de gestión de tecnologías de la información: Actualiza los activos de información de los procesos de la Agencia
Periodicidad del control: Anual
Propósito del control: Actualiza, clasifica y valora los activos de información de la Agencia, en conjunto con los procesos
Cómo se ejecuta el control: Solicita a los enlaces designados por los responsables de los procesos del respectivo proceso, diligenciar el inventario de activos que contienen la información utilizada en el cada poceso, la cual es comparada con el inventario existente para generar la actualización, clasificación y valoración de la confidencialidad, integridad y disponibilidad, en cumplimiento a la normatividad vigente 
Qué pasa con las observaciones o desviaciones:  Reprograma la actualización de activos de información, sin superar el período estipulado e informa al Director(a) administrativo(a) y financiero(a) para la toma de medidas correspondientes frente al tema  
Evidencias o soportes de la ejecución del control:  Documento de inventario de activos de información, invitación, control de asistencia, presentación, entre otros</t>
  </si>
  <si>
    <t>El(la) coordinador(a) del grupo interno de trabajo de gestión de tecnologías de la información: Monitorea y actualiza periódicamente la funcionalidad y operatividad de las herramientas tecnológicas establecidas y vigentes en APC-Colombia
Periodicidad del control: Cada vez que se requiera
Cómo se ejecuta el control: Se realiza una revisión de forma periódica de la información que entregan las herramientas de control y recibe información de los grupos de interes para así tomar la decisión de crear o no nuevas reglas de control, adicionalmente se ingresa a la infraestructura tecnológica para identificar los requerimientos de actualizaciones y  aplicar de forma ordenada las mismas
Qué pasa con las observaciones o desviaciones: Al detectar cualquier anomalía se procede a realizar los ajustes en el monitoreo, configuración o actualización que puedan hacer falta
Evidencias o soportes de la ejecución del control: Logs de eventos e informes sobre trazabilidad de red, ancho de banda, permisos, seguridad de equipos y dispositivos, denegaciones y actualizaciones, y informe de actualizaciones infraestructura, entre otros</t>
  </si>
  <si>
    <t>El(la) coordinador(a) del grupo interno de trabajo de gestión de tecnologías de la información: Realiza la gestión automatizada de copias de seguridad de la infraestructura de servidores (bases de datos y plataforma virtualizada de servidores)
Periodicidad: Diaria, semanal o Mensual
Cómo se ejecuta el control: De acuerdo con la criticidad de la información alojada en los servidores, se definieron tareas automatizadas de backup diarias, semanales y mensuales para cada uno de los contenidos de los servidores, verifica diariamente la ejecución de las tareas automatizadas. Estos backups se realizan a 3 destinos: backups en discos, backups en cintas (para remitir fuera de la Agencia), backup solución dispusta para el plan de recuperación de desanstres (nube publica)
Qué pasa con las observaciones o desviaciones: Identifica la causa de la no ejecución de la tarea automatizada y se procede a la solución inmediata
Evidencias o soportes de la ejecución del control: Control o registro de backup, informes y/o reportes de las desviaciones presentadas y su solución, entre otros</t>
  </si>
  <si>
    <t>Por baja alineación de las prioridades de los cooperantes internacionales con las prioridades definidas en la ENCI 2019-2022</t>
  </si>
  <si>
    <t>Posibilidad de afectación reputacional, por la baja alineación de las prioridades de los cooperantes internacionales con las prioridades definidas en la ENCI 2019-2022, debido a la debilidad en el posicionamiento de APC-Colombia como coordinador técnico de la AOD no reembolsable que recibe el país</t>
  </si>
  <si>
    <t>Debido a la debilidad en el posicionamiento de APC-Colombia como coordinador técnico de la AOD no reembolsable que recibe el país</t>
  </si>
  <si>
    <r>
      <t xml:space="preserve">Los profesionales del grupo de Gestión de conocimiento de la Dirección de gestión de demanda de cooperación internacional: Revisan trimestralmente la calidad de la información que es registrada en el sistema de información (CICLOPE)
Propósito del control: Garantiza que los datos son correctos y las alineaciones registradas corresponden con las prioridades definidas en la ENCI y otros criterios de alineación
Cómo se ejecuta el control: Esta revisión se hará a través de la validación de los documentos soporte de los proyectos registrados, la comparación de su información con la registrada en el sistema y la verificación de una correcta alineación con las prioridades PND y ENCI 
Qué pasa con las observaciones o desviaciones del control: Si existen, a través del sistema de información CICLOPE, se devolve el proyecto registrado al usuario que lo registró junto con las observacione correspondientes
Evidencias o soportes de la ejecución del control: Reporte del sistema de información, cuadro de seguimiento en excel donde se consolidan todas las observaciones generadas
</t>
    </r>
    <r>
      <rPr>
        <b/>
        <sz val="12"/>
        <rFont val="Arial"/>
        <family val="2"/>
      </rPr>
      <t>Responsable</t>
    </r>
    <r>
      <rPr>
        <sz val="12"/>
        <rFont val="Arial"/>
        <family val="2"/>
      </rPr>
      <t xml:space="preserve">: profesionales del grupo de Gestión de conocimiento de la Dirección de Demanda
</t>
    </r>
    <r>
      <rPr>
        <b/>
        <sz val="12"/>
        <rFont val="Arial"/>
        <family val="2"/>
      </rPr>
      <t>Periodicidad:</t>
    </r>
    <r>
      <rPr>
        <sz val="12"/>
        <rFont val="Arial"/>
        <family val="2"/>
      </rPr>
      <t xml:space="preserve"> Trimestral
</t>
    </r>
    <r>
      <rPr>
        <b/>
        <sz val="12"/>
        <rFont val="Arial"/>
        <family val="2"/>
      </rPr>
      <t>Propósito</t>
    </r>
    <r>
      <rPr>
        <sz val="12"/>
        <rFont val="Arial"/>
        <family val="2"/>
      </rPr>
      <t xml:space="preserve">: Garantizar que los datos son correctos y las alineaciones registradas corresponden con las prioridades definidas en la ENCI y otros criterios de alineación
</t>
    </r>
    <r>
      <rPr>
        <b/>
        <sz val="12"/>
        <rFont val="Arial"/>
        <family val="2"/>
      </rPr>
      <t>Cómo se ejecuta</t>
    </r>
    <r>
      <rPr>
        <sz val="12"/>
        <rFont val="Arial"/>
        <family val="2"/>
      </rPr>
      <t xml:space="preserve">: Esta revisión se hará a través de la validación de los documentos soporte de los proyectos registrados, la comparación de su información con la registrada en el sistema y la verificación de una correcta alineación con las prioridades PND y ENCI
</t>
    </r>
    <r>
      <rPr>
        <b/>
        <sz val="12"/>
        <rFont val="Arial"/>
        <family val="2"/>
      </rPr>
      <t>Observaciones/desviaciones:</t>
    </r>
    <r>
      <rPr>
        <sz val="12"/>
        <rFont val="Arial"/>
        <family val="2"/>
      </rPr>
      <t xml:space="preserve"> a través del sistema de información CICLOPE, se devolverá el proyecto registrado al usuario que lo registró junto con las observaciones correspondientes.
</t>
    </r>
    <r>
      <rPr>
        <b/>
        <sz val="12"/>
        <rFont val="Arial"/>
        <family val="2"/>
      </rPr>
      <t>Evidencias:</t>
    </r>
    <r>
      <rPr>
        <sz val="12"/>
        <rFont val="Arial"/>
        <family val="2"/>
      </rPr>
      <t xml:space="preserve"> se dejará como evidencia el reporte del sistema de información y un cuadro de seguimiento en excel donde se consolidan todas las observaciones generadas.</t>
    </r>
  </si>
  <si>
    <t xml:space="preserve">Los profesionales de la Dirección de gestión de demanda de cooperación internacional: Elaboran y harán seguimiento trimestral a treinta (30) planes de trabajo para la vigencia 2022, con las fuentes oficiales y no oficiales de cooperación internacional con las que trabajan
Periodicidad del control : Trimestral 
Propósito del control: Contribuir al fortalecimiento de la relación con el cooperante y la identificación de oportunidades de trabajo articulado en diferentes espacios de trabajo
Cómo se ejecuta el control: Los planes de trabajo se elaborarán con base en la plantilla correspondiente y cada profesional registrará en ella el cumplimiento de las actividades previstas
Qué pasa con las observaciones o desviaciones del control: De cada actividad, en caso de observación o desviación porque un plan de trabajo no se esta cumpliendo, se deberán revisar las actividades propuestas y analizar las causas de retraso para poder implementar las acciones correctivas del caso. Este ejercicio se hará conjuntamente con los(las) coordinadores(ras) y la Director(a) de la dirección
Evidencias o soportes de ejecución del control: El plan de trabajo con sus seguimiento correspondiente
</t>
  </si>
  <si>
    <t>El equipo técnico de la Dirección de gestión de demanda de cooperación internacional: Consolidará y enviará para publicación, el documento con Analisis de la Ayuda Oficial al Desarrollo (AOD), recibida durante la vigencia anterior
Periodicidad del control: Anual 
Propósito del control: Brindar información a los cooperantes internacionales y la ciudadanía en general, sobre la cooperación recibida y su alineación a las prioridades nacionales incluida la ENCI
Cómo se ejecuta el control: Este documento tomará como base la información registrada en el sistema de información correspondiente con el análisis de comportamiento correspondiente
Qué pasa con las observaciones o desviaciones del control: Si existen, como que el documento no pueda ser publicado, se emplearán medios alternativos para su socialización, como el envío a través de correo electrónico a los usuarios interesados y se dehará como evidencia el documento final.
Evidencias o soportes de la ejecución del control: el documento con Analisis de la Ayuda Oficial al Desarrollo (AOD), correo electrónico, entre otros</t>
  </si>
  <si>
    <t xml:space="preserve">Debido a fallas en el sistema de información de la cooperación internacional (CICLOPE) y/o fallas en la validación de la información registrada
</t>
  </si>
  <si>
    <t>Por divulgación de información errada de la cooperación internacional recibida por Colombia y a la que puede acceder el país</t>
  </si>
  <si>
    <t>El equipo de gestión del conocimiento de la dirección de gestión de demanda de cooperación internacional: Actualizará trimestralmente el tablero de control de la cooperación internacional, que será el referente de validación y socialización de información sobre la cooperación internacional recibida por Colombia
Periodicidad del plan: Trimestral 
Propósito del plan: Mantener actualizadas las cifras de cooperación internacional y poder socializarlas para consulta o validación con los cooperantes, para esto el grupo de gestión de conocimiento descargará del sistema de información, la base de datos actualizada y generará el archivo de Tablero de control.
Cómo se ejecuta el plan: El grupo de gestión de conocimiento descargará del sistema de información la base de datos actualizada y generará el archivo de tablero de control
Qué pasa con las observaciones o desviaciones del plan: En caso de errores en el tablero de control, se debe validar la información primaria y hacer los ajustes correspondientes
Evidencias o soportes de la ejecución del plan: Tablero de control generado y socializado</t>
  </si>
  <si>
    <t xml:space="preserve">El(la) coordinador(a) del grupo interno de trabajo de gestión de tecnologías de la información: Actualiza el plan de seguridad y continuidad de TI y/o procedimiento de respaldo de la información, entre otros
Periodicidad del plan: Trimestral 
Propósito del plan: Revisa y actualiza plan, procedimiento y si aplica otra documentación asociada al proceso que conlleven a la recuperación de la información pérdida en caso de requerirse de forma eficaz y efectiva
Cómo se ejecuta el plan: Programa jornadas de revisión, verificación, socialización, publicación de dichos documentos para su actualización (creación, modificación, anulación) en el aplicativo tecnológico de Brújula
Qué pasa con las observaciones o desviaciones del plan: Reprograma la actualización de los documentos, sin superar el período estipulado y se informa al superior jerárquico para la toma de medidas correspondientes frente a la situación presentada   
Evidencias o soportes de la ejecución del plan: Documentos actualizados, controles de asistencia con temas propuestos y discutidos, invitación, correo electrónico, entre otros </t>
  </si>
  <si>
    <t xml:space="preserve">Los profesionales de la Dirección de gestión de demanda de cooperación internacional: Participan en el proceso de mejora continua de las herramientas de registro y divulgación de información sobre la cooperación internacional que recibe el país
Periodicidad del control: Trimestral
Propósito del control: Contribuir a mejorar los canales de acceso a información para los usuarios externos y los procesos de registro de información sobre cooperación internacional. 
Cómo se ejecuta el control: Con base en las actividades permanentes de registro de información, los profesionales de la Dirección, podrán identificar oportunidades de mejora del sistema de información o fallas en su funcionamiento; estas situaciones serán comunicadas al equipo de Tecnologías de la Información para su evaluación e implementación
Qué pasa con las observaciones o desviaciones del control: En caso de presentarse, debido a que las propuestas de mejora no sean atendidas por el equipo de TIC, la solicitud será elevada al Director(a) administrativo(a) y financiero(a). 
Evidencias o soportes de la ejecución del control: Ayuda de memoria de reuniones que se realicen y correo electrónico enviado al proceso de gestión de tecnologías de la información
</t>
  </si>
  <si>
    <t>Los profesionales del grupo de certificados de utilidad común de la Dirección de gestión de demanda de cooperación internacional: Harán seguimiento periodico a la matriz de seguimiento a solicitudes de CUC y consolidarán bimestralmente una copia de dicha matriz con el propósito de garantizar el cumplimiento de los tiempos establecidos por el decreto 1651 de 2021, para la expedición de Constancias de registro de proyectos y CUC
Periodicidad del control: Bimestral
Propósito del control: Garantizar la calidad de la información sobre proyectos de cooperación internacional que sean registrados en el sistema de información (CICLOPE)
Cómo se ejecuta el control: Periodicamente los profesionales del grupo de Certificados de Utilidad Común de la Dirección, verifican que la matriz de seguimiento a CUC se encuentre correctamente diligenciada, tanto por el equipo técnico de CUC, como por los profesionales responsables de las fuentes de cooperación, validan los tiempos de respuesta y generan alertas sobre fechas próximas a vencer, para esto la matriz de seguimiento a CUC contará con ayudas visuales que faciliten esta verificación
Qué pasa con las observaciones o desviaciones del control: En caso de presentarse, debido a que alguna persona del equipo no haya dado respuesta y se aproxima la fecha de vencimiento, los profesionales del grupo de CUC informarán por correo electrónico al responsable y apoyarán (en caso de ser necesario) los avances en el trámite
Evidencias o soportes de la ejecución del control: Matriz de seguimiento a CUC</t>
  </si>
  <si>
    <t>El profesional del grupo de convocatorias de la Dirección de gestión de demanda de cooperación internacional: Consolida trimestralmente una copia de la plantilla estandarizada para la recolección y registro de la información sobre convocatorias internacionales en las que Colombia puede participar y que es actualizada permanentemente por los profesionales  de la Dirección
Periodicidad del control: Trimestral 
Propósito del control: Garantizar la unidad en la información que se recolecta facilitando el proceso de validación y registro de la misma previo a la publicación en la página web de la Agencia, adicionalmente la copia periodica que se realiza permite evitar perdida de información registrada con antelación
Cómo se ejecuta el control: En esta plantilla, los profesionales de la Dirección podrán registrar la información básica sobre convocatorias de cooperación internacional a los que Colombia pueda aplicar; la plantilla incluye columnas de criterios que permiten validar la calidad de la información registrada por los diferentes escritorios
Qué pasa con las observaciones o desviaciones del control: En caso de presentarse, debido a que la información reportada no cumpla con los criterios de calidad establecidos, se genera correo electrónico a la fuente de información pidiendo la validación y corrección de la información
Evidencias o soportes de la ejecución del control: Plantilla de registro de convocatorias</t>
  </si>
  <si>
    <t>El profesional responsable del registro de convocatorias internacionales: Realiza la verificación y validación de las fuentes de información y la calidad de la información registrada en la plantilla de convocatoria y consolida trimestralmente una copia de la misma, con el propósito de garantizar la confiabilidad de la  información que se publica en la página web de APC-Colombia
Periodicidad del control: Trimestral 
Periodicidad del control: Garantizar la confiabilidad de la  información que se publica en la página web de APC-Colombia
Cómo se ejecuta el control: La validación de la información se hace sobre cada uno de los registros que se generan en la plantilla de convocatorias que cuenta con varias columnas de verificación que deben ser diligenciadas previo a la publicación de la convocatoria 
Qué pasa con las observaciones o desviaciones del control: En caso de presentarse, porque la convocatoria registrada no cumple con los requisitos de validación, la convocatoria es marcada como no apta para publicación. Se genera como evidencia la copia de la plantilla de validación con el seguimiento a los criterios de verificación para cada registro
Evidencias o soportes de la ejecución del control: Copia de la plantilla de validación con el seguimiento a los criterios de verificación para cada registro</t>
  </si>
  <si>
    <t xml:space="preserve">Posibilidad de afectación reputacional, por divulgación de información errada de la cooperación internacional recibida por Colombia y a la que puede acceder el país, debido a fallas en el sistema de información de la cooperación internacional (CICLOPE) y/o fallas en la validación de la información registrada
</t>
  </si>
  <si>
    <t>Posibilidad de afectación reputacional, por queja y/o sanción por las autoridades disciplinarias competentes,  debido a la desarticulación con actores nacionales, territoriales o cooperantes en la  ejecución de los Intercambios Col-Col</t>
  </si>
  <si>
    <t>Posibilidad de afectación reputacional, por una queja y/o sanción de las autoridades disciplinarias competentes,  debido a la desarticulación entre las direcciones / dependencias encargadas de las respuestas y seguimiento a las propuestas recibidas a través del correo insitucional por parte de los participantes</t>
  </si>
  <si>
    <t>debido a la desarticulación entre las direcciones / dependencias encargadas de las respuestas y seguimiento a las propuestas recibidas a través del correo insitucional por parte de los participantes</t>
  </si>
  <si>
    <t>El(la) coordinador(a) del grupo interno de trabajo del Sistema Nacional de Cooperación Internacional de la Dirección de coordinación interinstitucional de cooperación internaccional: Quién lleva la coordinación de la Estrategia Col-Col: Revisa los planes sectoriales y territoriales de manera que garantice la articulación temática de los contenidos del Intercambio Col-Col, con las prioridades sectoriales y territoriales, y convoca a los actores competentes para formulación conjunta de nota concepto
Periodicidad del control: Semestral
Propósito del control: Garantizar la articulación temática de los contenidos del Intercambio Col-Col con las prioridades sectoriales y territoriales 
Cómo se ejecuta el control: Convoca a los actores competentes para formulación conjunta de nota concepto 
Qué pasa con las observaciones o desviaciones del control: En caso de no realizarse la articulación con todas las entidades competentes, se acotan las temáticas al alcance de las entidades que si participan, para asegurar la posterior ejecución y seguimiento de los planes de acción generados en los Col-Col. En caso de no lograrse el compromiso para participar por parte de la entidad competente, se valora la existencia de otros actores descentralizados o de cooperación internacional en el tema, con competencia legal para el fortalecimiento técnico o en caso de no existir se modifica el tema del Col-Col
Evidencias o soportes de la ejecución del control: Notas concepto de los Col-Col que soportan la articulación temática con las prioridades sectoriales y territoriales</t>
  </si>
  <si>
    <t xml:space="preserve">El(la) coordinador(a) del grupo interno de trabajo de Oportunidades de Cooperación: Velará por el seguimiento diario del correo institucional donde se reciben propuestas a las convocatorias
Periodicidad del control: Diaria
Propósito del control: Garantizar la respuesta a todas las propuestas que envía la ciudadanía sobre convocatorias
Cómo se ejecuta el control: Revisa el correo de convocatorias diariamente
Qué pasa con las observaciones o desviaciones del control: En caso de no realizarse el seguimiento diario del correo institucional, o de presentar allguna falla, se informara inmediatamente al supeior jerárquico para la toma de decisiones e implementar acciones frente a la situación presentada para atender las propuestas a las convocatorias 
Evidencias o soportes de la ejecución del control: Tablero de control diseña para hacer seguimiento
</t>
  </si>
  <si>
    <t xml:space="preserve">Los(las) coordinadores(ra)s de los equipos de cooperación bilateral y multilateral de la Dirección de gestión de cooperación internacional: Validan la información registrada en las constancias de registro de proyectos y los certificados de utilidad común, contra la información registrada en el Sistema de Información CICLOPE, antes de firmar estos documentos
Periodicidad del plan: Trimestral
Propósito del plan: Garantizar que la información sea confiable y corresponda con los soportes documentales existentes
Cómo se ejecuta el plan: Los(las) coordinadores(ras) de la Dirección de gestión de demanda de cooperación internacional, deberán ingresar al sistema, verificar la información registrada y constrastarla con los datos que reportan la constancia de registro el CUC, su aprobación quedará confirmada con la firma de estos documentos y será registrada en la matriz de seguimiento a CUC que se consolidará trimestralmente
Qué pasa con las observaciones o desviaciones del plan: En caso de presentarsen, por diferencias en la información o errores en su registro, los(las) coordinadores(ras) rechazarán el documento y solicitarán su corrección
Evidencias o soportes de ejecución del plan: Seguimiento de esta actividad en la matriz de seguimiento a CUC
</t>
  </si>
  <si>
    <t>El(la) coordinador(a) del grupo interno de trabajo del Sistema Nacional de Cooperación Internacional de la Dirección de Coordinación interinstitucional de cooperación internacional, quien lleva la coordinación de la Estrategia Col-Col: Socializa la nota concepto final concertada con los actores involucrados en el Intercambio 
Periodicidad del plan: Cada vez que se construya una nota concepto de un intercambio Col-Col. Aproximadamente, seis (6) veces al año
Propósito del plan: Comparte con los socios de los Col-Col la nota concepto que evidencia la articulación con las prioridades sectoriales y territoriales
Cómo se ejecuta el plan: Realiza  comunicaciones a través de correo electrónico o reuniones de trabajo
Qué pasa con las observaciones o desviaciones del plan: De recibir comentarios por parte de los socios sobre desarticulación del Col-Col con sus prioridades, se ajustará el enfoque del ejercicio y por ende, la nota concepto
Evidencias o soportes de la ejecución del plan: Comunicaciones remitidas a los socios de los intercambios Col-Col, en las que se divulga y socializa la nota concepto para sus comentarios</t>
  </si>
  <si>
    <t>El(la) coordinador(a) del grupo interno de trabajo de Oportunidades de Cooperación Internacional de la Dirección de Coordinación interinstitucional de cooperación internacional: Formula un tablero de control que brinde el seguimiento continúo a las propuestas que se reciben a través del correo institucional
Periodicidad del plan: Cada vez que se reciban propuestas
Propósito del plan: Llevar un registro de todas las propuestas que se reciben para ser respondidas en el tiempo adecuado
Cómo se ejecuta el plan: El responsbale formula un tablero de control que brinde el seguimiento continúo a las propuestas que se reciben a través del correo institucional
Qué pasa con las observaciones o desviaciones: De recibir comentarios por parte de los interesados, se revisará la situación en conjunto con el Comité de Convocatorias
Evidencias o soportes de la ejecución del plan: Tablero de control o correo electrónico</t>
  </si>
  <si>
    <t xml:space="preserve">Por cambios en las dinámicas de la Cooperación Sur-Sur,  así como factores propios de países socios:
cambios de Gobierno, restricciones presupuestales, entre otros. </t>
  </si>
  <si>
    <t xml:space="preserve">Baja ejecución de proyectos e iniciativas de cooperación Sur-Sur </t>
  </si>
  <si>
    <t xml:space="preserve">Posibilidad de afectación reputacional. Baja ejecución de las actividades de cooperación Sur Sur por cambios en las dinámicas de la Cooperación con los  países socios:
Por ejemplo, cambios de Gobierno, restricciones presupuestales, entre otros, lo cual genera incumplimiento en la   realización de proyectos e iniciativas de cooperación Sur-Sur   </t>
  </si>
  <si>
    <t>El director(a) técnico(a): Realiza seguimiento a la negociación y ejecución de proyectos e iniciativas de CSS  
Periodicidad del control: Trimestral 
Propósito del control: Que el seguimiento sea oportuno en la  negociación y ejecución de proyectos e iniciativas de CSS 
Cómo se ejecuta el control: 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Qué pasa con las observaciones o desviaciones del control: Cuando aplique se realiza ajustes a los proyectos o reprogramación de iniciativas de CSS 
Evidencias o soportes de la ejecución del control: Acta de reunión trimestral de las comisiones mixtas, programación mensual de seguimiento de los enlaces de los países</t>
  </si>
  <si>
    <t>El director(a) técnico(a): Presenta periodicamente a la Dirección General  las alertas a la negociación y ejecución de proyectos e iniciativas de CSS 
Periodicidad del plan: Periodicamente
Propósito del plan: Establecer plan de trabajo que permita tener la ruta a seguir frente a la negociación y ejecución de proyectos e iniciativas de CSS
Cómo se ejecuta el plan: Consolida la información del estado de negociación y ejecución de proyectos e iniciativas de CSS 
Qué pasa con las observaciones o desviaciones del plan: Evalua de acuerdo con la dinámica de la CSS, realizar con los países socios actividades contempladas en otras vigencias o adelantar actividades programadas en diferentes moemntos dentro de la misma vigencia 
Evidencias o soportes de la ejecución del plan: Plan de trabajo o ruta, acta de reunión, cuadro de programación de seguimiento de los enlaces</t>
  </si>
  <si>
    <t>El(la) profesional responsable: Realiza las actividades propias de almacén e inventarios: administración, ingreso y salida de bienes de la Agencia, y registro y gestión de inventarios de los servidores públicos, entre otros
Periodicidad del control: Diaria
Propósito del control: Aplica los lineamientos establecios en el Manual para bienes de la Agencia e inventarios de los servidores públicos, entre otros
Cómo se ejecuta el control: Se registran los bienes en el aplicativo tecnológico efectuando los movimientos-registros para administración, ingreso y salida de bienes. Así como, las actualizaciones para inventarios de los servidores públicos, entre otros   
Qué pasa con las observaciones o desviaciones: Al identificar la no implementación del Manual y la  normatividad, informa al jefe jerárquico de la situación presentada frente al almacén e inventarios para la toma de decisiones e implementación de acciones inmediatas y asertivas
Evidencias o soportes de la ejecución del control: Manual operativo  de administración de bienes actualizado,   movimientos-registros de almacén e inventarios, formatos, correo electrónico, entre otros</t>
  </si>
  <si>
    <t xml:space="preserve">El(la) profesional responsable: Implementa y aplica la debida restricción de ingreso o permanencia de personas o elementos a las bodegas de la Agencia, sin previa autorización y registro 
Periodicidad del control: Diaria
Propósito del control: Aplica los lineamientos establecios por la Agencia 
Cómo se ejecuta el control: Realiza permanente control de ingreso o permanencia a las bodegas de la Agencia, tanto de personas como de elementos, asegura que siempre permanezcan cerradas y con llave, cuente con letreros de prohibición, entre otros  
Qué pasa con las observaciones o desviaciones: Al presentarse una novedad de ingreso de personas o elementos no autorizados u otra situación frente al tema, Informa  inmediatamente al superior jerárquico de la situación presentada para seguir instrucciones
Evidencias o soportes de la ejecución del control: Lineamiento, formato, correo electrónico, registro fotográfico, entre otros </t>
  </si>
  <si>
    <t>El(la) coordinador del grupo interno de trabajo de gestión de servicios administrativos: Realiza trimestralmente inventarios selectivos de almacén e  inventarios de activos fijos en servicio de la Agencia
Periodicidad del plan: Trimestral
Propósito del plan: Efectuar ejercicios de revisión y validación del almacén e inventario (movimientos-registros manuales o sistema) frente a los lineamientos establecidos por la Agencia para el tema (Manual) y la normatividad general para el tema
Cómo se ejecuta el plan: Ingresa a SOFIA, revisa la lista de inventario de bienes de la Agencia y valida que estén actualizados y cumpla con lo establecido en el Manual y normatividad 
Qué pasa con las observaciones o desviaciones del plan: Informa al responsable jerárquico de la situación presentada para tomar las medicas necesarias 
Evidencias o soportes de la ejecución del plan: Reporte o informe de seguimiento (inventarios selectivos de almacén y activos fijos en servicio de la Agencia), entre otros</t>
  </si>
  <si>
    <t xml:space="preserve">Debido a personal que ingrese sin autorización y falta de control en prestamo  </t>
  </si>
  <si>
    <t xml:space="preserve">Debido a personal que ingrese sin autorización y falta de control en prestamo </t>
  </si>
  <si>
    <t xml:space="preserve">El(la) funcionario(a) responsable: Solicita al visitante datos relativos a elementos, dispositivos, equipos, información, documentos, expedientes, entre otros, que ingresan a la Agencia
Periodicidad del control: Diaria
Propósito del control: Aplica los lineamientos establecios por la Agencia frente al tema 
Cómo se ejecuta el control: Realiza el registro de datos suministrados por el visitante en el formato determinado para ello 
Qué pasa con las observaciones o desviaciones: Al presentarse que un visitante no suministre datos, informa inmediatamente al superior jerárquico de la situación presentada para la toma de decisiones y seguir las indicaciones de forma inmediata
Evidencias o soportes de la ejecución del control: Lineamiento, formato, correo electrónico, entre otros </t>
  </si>
  <si>
    <t xml:space="preserve">El(la) funcionario(a) responsable: Realiza control de ingreso de información, digitalización y archivo de documentos y/o expedientes, registro de destrucción (si aplica) y registro de control de prestamos de estos 
Periodicidad del control: Diaria
Propósito del control: Aplica los lineamientos establecios por la Agencia (Manual de archivo y correspondencia) 
Cómo se ejecuta el control: Realiza las actividades propias de gestión ducumental frente a la información generada o recibida por la Agencia
Qué pasa con las observaciones o desviaciones: Al presentarse una novedad en gestión documental, informa  inmediatamente al superior jerárquico de la situación presentada para seguir instrucciones
Evidencias o soportes de la ejecución del control: Control o registro de ingreso de información, digitalización y archivo, destrucción (si aplica), prestamo de documentos y/o expedientes, lineamiento, formato, correo electrónico, registro fotográfico, acta, entre otros </t>
  </si>
  <si>
    <t>Posibilidad de afectación económica y reputacional por el incumplimiento de compromisos institucionales, normatividad, demandas o  acciones disciplinarias, debido a inadeacuada custodia, ingreso y salida e inoportuna gestión y registro en el sistema ocasiona pérdida o daño de los bienes de la Agencia</t>
  </si>
  <si>
    <t xml:space="preserve">Susceptible a pérdida de información, documentos, expedientes, equipos, dispositivos, entre otros, que pueden ser sustraidos sin autorización ni control de prestamo </t>
  </si>
  <si>
    <t xml:space="preserve">Posibilidad de afectación económica y reputacional susceptible a pérdida de información, documentos, expedientes, equipos, dispositivos, entre otros, que pueden ser sustraidos sin autorización ni control de prestamo, debido a personal que ingrese o sin autorización y falta de control en prestamo </t>
  </si>
  <si>
    <t>Mapa de Riesgos 
Código: E-FO-017 - Versión: 10 - Fecha: 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</si>
</sst>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sz val="12"/>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b/>
      <sz val="14"/>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b/>
      <sz val="11"/>
      <name val="Arial Narrow"/>
      <family val="2"/>
    </font>
    <font>
      <sz val="11"/>
      <color theme="1"/>
      <name val="Times New Roman"/>
      <family val="1"/>
    </font>
    <font>
      <sz val="11"/>
      <color theme="0"/>
      <name val="Times New Roman"/>
      <family val="1"/>
    </font>
    <font>
      <sz val="9"/>
      <color indexed="81"/>
      <name val="Tahoma"/>
      <family val="2"/>
    </font>
    <font>
      <b/>
      <sz val="9"/>
      <color indexed="81"/>
      <name val="Tahoma"/>
      <family val="2"/>
    </font>
    <font>
      <b/>
      <sz val="11"/>
      <color rgb="FFFF0000"/>
      <name val="Arial Narrow"/>
      <family val="2"/>
    </font>
    <font>
      <sz val="12"/>
      <name val="Arial"/>
      <family val="2"/>
    </font>
    <font>
      <sz val="12"/>
      <color theme="1"/>
      <name val="Arial"/>
      <family val="2"/>
    </font>
    <font>
      <u/>
      <sz val="11"/>
      <color theme="10"/>
      <name val="Calibri"/>
      <family val="2"/>
      <scheme val="minor"/>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rgb="FFFF0000"/>
      <name val="Arial"/>
      <family val="2"/>
    </font>
    <font>
      <sz val="12"/>
      <color rgb="FF030303"/>
      <name val="Arial"/>
      <family val="2"/>
    </font>
    <font>
      <sz val="12"/>
      <color theme="9" tint="-0.249977111117893"/>
      <name val="Arial"/>
      <family val="2"/>
    </font>
    <font>
      <sz val="12"/>
      <color rgb="FF000000"/>
      <name val="Calibri"/>
      <family val="2"/>
      <scheme val="minor"/>
    </font>
    <font>
      <u/>
      <sz val="12"/>
      <color theme="10"/>
      <name val="Arial"/>
      <family val="2"/>
    </font>
    <font>
      <u/>
      <sz val="12"/>
      <color theme="10"/>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9" fontId="9" fillId="0" borderId="0" applyFont="0" applyFill="0" applyBorder="0" applyAlignment="0" applyProtection="0"/>
    <xf numFmtId="0" fontId="23" fillId="0" borderId="0"/>
    <xf numFmtId="0" fontId="24" fillId="0" borderId="0"/>
    <xf numFmtId="0" fontId="6" fillId="0" borderId="0"/>
    <xf numFmtId="0" fontId="33" fillId="0" borderId="0" applyNumberFormat="0" applyFill="0" applyBorder="0" applyAlignment="0" applyProtection="0"/>
  </cellStyleXfs>
  <cellXfs count="434">
    <xf numFmtId="0" fontId="0" fillId="0" borderId="0" xfId="0"/>
    <xf numFmtId="0" fontId="2" fillId="0" borderId="0" xfId="0" applyFont="1"/>
    <xf numFmtId="0" fontId="2" fillId="0" borderId="0" xfId="0" applyFont="1" applyAlignment="1">
      <alignment horizontal="center" vertical="center"/>
    </xf>
    <xf numFmtId="0" fontId="5" fillId="2" borderId="0" xfId="0" applyFont="1" applyFill="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xf>
    <xf numFmtId="0" fontId="2" fillId="3" borderId="0" xfId="0" applyFont="1" applyFill="1"/>
    <xf numFmtId="0" fontId="6" fillId="0" borderId="0" xfId="0" applyFont="1"/>
    <xf numFmtId="0" fontId="4" fillId="0" borderId="1" xfId="0" applyFont="1" applyBorder="1" applyAlignment="1">
      <alignment horizontal="left" vertical="center" wrapText="1" indent="1" readingOrder="1"/>
    </xf>
    <xf numFmtId="0" fontId="5" fillId="0" borderId="0" xfId="0" applyFont="1" applyAlignment="1">
      <alignment horizontal="left" vertical="center"/>
    </xf>
    <xf numFmtId="0" fontId="5" fillId="3" borderId="0" xfId="0" applyFont="1" applyFill="1" applyAlignment="1">
      <alignment horizontal="center" vertical="center"/>
    </xf>
    <xf numFmtId="0" fontId="13" fillId="11" borderId="11" xfId="0" applyFont="1" applyFill="1" applyBorder="1" applyAlignment="1" applyProtection="1">
      <alignment horizontal="center" vertical="center" wrapText="1" readingOrder="1"/>
      <protection hidden="1"/>
    </xf>
    <xf numFmtId="0" fontId="13" fillId="11" borderId="18" xfId="0" applyFont="1" applyFill="1" applyBorder="1" applyAlignment="1" applyProtection="1">
      <alignment horizontal="center" vertical="center" wrapText="1" readingOrder="1"/>
      <protection hidden="1"/>
    </xf>
    <xf numFmtId="0" fontId="13" fillId="11" borderId="12" xfId="0" applyFont="1" applyFill="1" applyBorder="1" applyAlignment="1" applyProtection="1">
      <alignment horizontal="center" vertical="center" wrapText="1" readingOrder="1"/>
      <protection hidden="1"/>
    </xf>
    <xf numFmtId="0" fontId="13" fillId="12" borderId="11" xfId="0" applyFont="1" applyFill="1" applyBorder="1" applyAlignment="1" applyProtection="1">
      <alignment horizontal="center" wrapText="1" readingOrder="1"/>
      <protection hidden="1"/>
    </xf>
    <xf numFmtId="0" fontId="13" fillId="12" borderId="18" xfId="0" applyFont="1" applyFill="1" applyBorder="1" applyAlignment="1" applyProtection="1">
      <alignment horizontal="center" wrapText="1" readingOrder="1"/>
      <protection hidden="1"/>
    </xf>
    <xf numFmtId="0" fontId="13" fillId="12" borderId="12" xfId="0" applyFont="1" applyFill="1" applyBorder="1" applyAlignment="1" applyProtection="1">
      <alignment horizontal="center" wrapText="1" readingOrder="1"/>
      <protection hidden="1"/>
    </xf>
    <xf numFmtId="0" fontId="13" fillId="11" borderId="13" xfId="0" applyFont="1" applyFill="1" applyBorder="1" applyAlignment="1" applyProtection="1">
      <alignment horizontal="center" vertical="center" wrapText="1" readingOrder="1"/>
      <protection hidden="1"/>
    </xf>
    <xf numFmtId="0" fontId="13" fillId="11" borderId="0" xfId="0" applyFont="1" applyFill="1" applyBorder="1" applyAlignment="1" applyProtection="1">
      <alignment horizontal="center" vertical="center" wrapText="1" readingOrder="1"/>
      <protection hidden="1"/>
    </xf>
    <xf numFmtId="0" fontId="13" fillId="11" borderId="14" xfId="0" applyFont="1" applyFill="1" applyBorder="1" applyAlignment="1" applyProtection="1">
      <alignment horizontal="center" vertical="center" wrapText="1" readingOrder="1"/>
      <protection hidden="1"/>
    </xf>
    <xf numFmtId="0" fontId="13" fillId="12" borderId="13" xfId="0" applyFont="1" applyFill="1" applyBorder="1" applyAlignment="1" applyProtection="1">
      <alignment horizontal="center" wrapText="1" readingOrder="1"/>
      <protection hidden="1"/>
    </xf>
    <xf numFmtId="0" fontId="13" fillId="12" borderId="0" xfId="0" applyFont="1" applyFill="1" applyBorder="1" applyAlignment="1" applyProtection="1">
      <alignment horizontal="center" wrapText="1" readingOrder="1"/>
      <protection hidden="1"/>
    </xf>
    <xf numFmtId="0" fontId="13" fillId="12" borderId="14" xfId="0" applyFont="1" applyFill="1" applyBorder="1" applyAlignment="1" applyProtection="1">
      <alignment horizontal="center" wrapText="1" readingOrder="1"/>
      <protection hidden="1"/>
    </xf>
    <xf numFmtId="0" fontId="13" fillId="11" borderId="0" xfId="0" applyFont="1" applyFill="1" applyAlignment="1" applyProtection="1">
      <alignment horizontal="center" vertical="center" wrapText="1" readingOrder="1"/>
      <protection hidden="1"/>
    </xf>
    <xf numFmtId="0" fontId="13" fillId="11" borderId="15" xfId="0" applyFont="1" applyFill="1" applyBorder="1" applyAlignment="1" applyProtection="1">
      <alignment horizontal="center" vertical="center" wrapText="1" readingOrder="1"/>
      <protection hidden="1"/>
    </xf>
    <xf numFmtId="0" fontId="13" fillId="11" borderId="17" xfId="0" applyFont="1" applyFill="1" applyBorder="1" applyAlignment="1" applyProtection="1">
      <alignment horizontal="center" vertical="center" wrapText="1" readingOrder="1"/>
      <protection hidden="1"/>
    </xf>
    <xf numFmtId="0" fontId="13" fillId="11" borderId="16" xfId="0" applyFont="1" applyFill="1" applyBorder="1" applyAlignment="1" applyProtection="1">
      <alignment horizontal="center" vertical="center" wrapText="1" readingOrder="1"/>
      <protection hidden="1"/>
    </xf>
    <xf numFmtId="0" fontId="13" fillId="12" borderId="15" xfId="0" applyFont="1" applyFill="1" applyBorder="1" applyAlignment="1" applyProtection="1">
      <alignment horizontal="center" wrapText="1" readingOrder="1"/>
      <protection hidden="1"/>
    </xf>
    <xf numFmtId="0" fontId="13" fillId="12" borderId="17" xfId="0" applyFont="1" applyFill="1" applyBorder="1" applyAlignment="1" applyProtection="1">
      <alignment horizontal="center" wrapText="1" readingOrder="1"/>
      <protection hidden="1"/>
    </xf>
    <xf numFmtId="0" fontId="13" fillId="12" borderId="16" xfId="0" applyFont="1" applyFill="1" applyBorder="1" applyAlignment="1" applyProtection="1">
      <alignment horizontal="center" wrapText="1" readingOrder="1"/>
      <protection hidden="1"/>
    </xf>
    <xf numFmtId="0" fontId="13" fillId="13" borderId="11" xfId="0" applyFont="1" applyFill="1" applyBorder="1" applyAlignment="1" applyProtection="1">
      <alignment horizontal="center" wrapText="1" readingOrder="1"/>
      <protection hidden="1"/>
    </xf>
    <xf numFmtId="0" fontId="13" fillId="13" borderId="18" xfId="0" applyFont="1" applyFill="1" applyBorder="1" applyAlignment="1" applyProtection="1">
      <alignment horizontal="center" wrapText="1" readingOrder="1"/>
      <protection hidden="1"/>
    </xf>
    <xf numFmtId="0" fontId="13" fillId="13" borderId="12" xfId="0" applyFont="1" applyFill="1" applyBorder="1" applyAlignment="1" applyProtection="1">
      <alignment horizontal="center" wrapText="1" readingOrder="1"/>
      <protection hidden="1"/>
    </xf>
    <xf numFmtId="0" fontId="13" fillId="13" borderId="13" xfId="0" applyFont="1" applyFill="1" applyBorder="1" applyAlignment="1" applyProtection="1">
      <alignment horizontal="center" wrapText="1" readingOrder="1"/>
      <protection hidden="1"/>
    </xf>
    <xf numFmtId="0" fontId="13" fillId="13" borderId="0" xfId="0" applyFont="1" applyFill="1" applyBorder="1" applyAlignment="1" applyProtection="1">
      <alignment horizontal="center" wrapText="1" readingOrder="1"/>
      <protection hidden="1"/>
    </xf>
    <xf numFmtId="0" fontId="13" fillId="13" borderId="14" xfId="0" applyFont="1" applyFill="1" applyBorder="1" applyAlignment="1" applyProtection="1">
      <alignment horizontal="center" wrapText="1" readingOrder="1"/>
      <protection hidden="1"/>
    </xf>
    <xf numFmtId="0" fontId="13" fillId="13" borderId="15" xfId="0" applyFont="1" applyFill="1" applyBorder="1" applyAlignment="1" applyProtection="1">
      <alignment horizontal="center" wrapText="1" readingOrder="1"/>
      <protection hidden="1"/>
    </xf>
    <xf numFmtId="0" fontId="13" fillId="13" borderId="17" xfId="0" applyFont="1" applyFill="1" applyBorder="1" applyAlignment="1" applyProtection="1">
      <alignment horizontal="center" wrapText="1" readingOrder="1"/>
      <protection hidden="1"/>
    </xf>
    <xf numFmtId="0" fontId="13" fillId="13" borderId="16" xfId="0" applyFont="1" applyFill="1" applyBorder="1" applyAlignment="1" applyProtection="1">
      <alignment horizontal="center" wrapText="1" readingOrder="1"/>
      <protection hidden="1"/>
    </xf>
    <xf numFmtId="0" fontId="13" fillId="5" borderId="11" xfId="0" applyFont="1" applyFill="1" applyBorder="1" applyAlignment="1" applyProtection="1">
      <alignment horizontal="center" wrapText="1" readingOrder="1"/>
      <protection hidden="1"/>
    </xf>
    <xf numFmtId="0" fontId="13" fillId="5" borderId="18" xfId="0" applyFont="1" applyFill="1" applyBorder="1" applyAlignment="1" applyProtection="1">
      <alignment horizontal="center" wrapText="1" readingOrder="1"/>
      <protection hidden="1"/>
    </xf>
    <xf numFmtId="0" fontId="13" fillId="5" borderId="12" xfId="0" applyFont="1" applyFill="1" applyBorder="1" applyAlignment="1" applyProtection="1">
      <alignment horizontal="center" wrapText="1" readingOrder="1"/>
      <protection hidden="1"/>
    </xf>
    <xf numFmtId="0" fontId="13" fillId="5" borderId="13" xfId="0" applyFont="1" applyFill="1" applyBorder="1" applyAlignment="1" applyProtection="1">
      <alignment horizontal="center" wrapText="1" readingOrder="1"/>
      <protection hidden="1"/>
    </xf>
    <xf numFmtId="0" fontId="13" fillId="5" borderId="0" xfId="0" applyFont="1" applyFill="1" applyBorder="1" applyAlignment="1" applyProtection="1">
      <alignment horizontal="center" wrapText="1" readingOrder="1"/>
      <protection hidden="1"/>
    </xf>
    <xf numFmtId="0" fontId="13" fillId="5" borderId="14" xfId="0" applyFont="1" applyFill="1" applyBorder="1" applyAlignment="1" applyProtection="1">
      <alignment horizontal="center" wrapText="1" readingOrder="1"/>
      <protection hidden="1"/>
    </xf>
    <xf numFmtId="0" fontId="13" fillId="5" borderId="15" xfId="0" applyFont="1" applyFill="1" applyBorder="1" applyAlignment="1" applyProtection="1">
      <alignment horizontal="center" wrapText="1" readingOrder="1"/>
      <protection hidden="1"/>
    </xf>
    <xf numFmtId="0" fontId="13" fillId="5" borderId="17" xfId="0" applyFont="1" applyFill="1" applyBorder="1" applyAlignment="1" applyProtection="1">
      <alignment horizontal="center" wrapText="1" readingOrder="1"/>
      <protection hidden="1"/>
    </xf>
    <xf numFmtId="0" fontId="13" fillId="5"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0" fillId="3" borderId="0" xfId="0" applyFill="1"/>
    <xf numFmtId="0" fontId="10" fillId="3" borderId="0" xfId="0" applyFont="1" applyFill="1" applyAlignment="1">
      <alignment vertical="center"/>
    </xf>
    <xf numFmtId="0" fontId="2" fillId="0" borderId="2" xfId="0" applyFont="1" applyBorder="1" applyAlignment="1" applyProtection="1">
      <alignment horizontal="center" vertical="center" textRotation="90"/>
      <protection locked="0"/>
    </xf>
    <xf numFmtId="0" fontId="5" fillId="0" borderId="2" xfId="0" applyFont="1" applyFill="1" applyBorder="1" applyAlignment="1" applyProtection="1">
      <alignment horizontal="center" vertical="center" textRotation="90" wrapText="1"/>
      <protection hidden="1"/>
    </xf>
    <xf numFmtId="9" fontId="2" fillId="0" borderId="4" xfId="0" applyNumberFormat="1"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hidden="1"/>
    </xf>
    <xf numFmtId="0" fontId="2" fillId="0" borderId="4"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protection locked="0"/>
    </xf>
    <xf numFmtId="0" fontId="5" fillId="2" borderId="10" xfId="0" applyFont="1" applyFill="1" applyBorder="1" applyAlignment="1">
      <alignment vertical="center"/>
    </xf>
    <xf numFmtId="0" fontId="30" fillId="2" borderId="10" xfId="0" applyFont="1" applyFill="1" applyBorder="1" applyAlignment="1">
      <alignment vertical="center" wrapText="1"/>
    </xf>
    <xf numFmtId="0" fontId="5" fillId="2" borderId="7" xfId="0" applyFont="1" applyFill="1" applyBorder="1" applyAlignment="1">
      <alignment vertical="center"/>
    </xf>
    <xf numFmtId="0" fontId="25" fillId="2" borderId="2" xfId="0" applyFont="1" applyFill="1" applyBorder="1" applyAlignment="1">
      <alignment horizontal="center" vertical="center" textRotation="90"/>
    </xf>
    <xf numFmtId="0" fontId="5" fillId="2" borderId="2" xfId="0" applyFont="1" applyFill="1" applyBorder="1" applyAlignment="1">
      <alignment vertical="center" textRotation="90" wrapText="1"/>
    </xf>
    <xf numFmtId="0" fontId="30" fillId="2" borderId="2" xfId="0" applyFont="1" applyFill="1" applyBorder="1" applyAlignment="1">
      <alignment horizontal="center" vertical="center" textRotation="90"/>
    </xf>
    <xf numFmtId="0" fontId="7" fillId="0" borderId="2" xfId="0" applyFont="1" applyBorder="1" applyAlignment="1" applyProtection="1">
      <alignment horizontal="justify" vertical="center" wrapText="1"/>
      <protection locked="0"/>
    </xf>
    <xf numFmtId="9" fontId="2" fillId="0" borderId="2" xfId="0" applyNumberFormat="1" applyFont="1" applyBorder="1" applyAlignment="1" applyProtection="1">
      <alignment horizontal="center" vertical="center"/>
    </xf>
    <xf numFmtId="164" fontId="2" fillId="0" borderId="2" xfId="1" applyNumberFormat="1" applyFont="1" applyBorder="1" applyAlignment="1" applyProtection="1">
      <alignment horizontal="center" vertical="center"/>
      <protection locked="0"/>
    </xf>
    <xf numFmtId="164" fontId="2" fillId="0" borderId="2" xfId="1" applyNumberFormat="1" applyFont="1" applyBorder="1" applyAlignment="1" applyProtection="1">
      <alignment horizontal="center" vertical="center"/>
    </xf>
    <xf numFmtId="0" fontId="2" fillId="0" borderId="2" xfId="0" applyFont="1" applyBorder="1" applyAlignment="1" applyProtection="1">
      <alignment horizontal="left" vertical="center" wrapText="1"/>
      <protection locked="0"/>
    </xf>
    <xf numFmtId="0" fontId="2" fillId="3" borderId="0" xfId="0" applyFont="1" applyFill="1" applyAlignment="1">
      <alignment vertical="center"/>
    </xf>
    <xf numFmtId="0" fontId="2" fillId="0" borderId="0" xfId="0" applyFont="1" applyAlignment="1">
      <alignment vertical="center"/>
    </xf>
    <xf numFmtId="0" fontId="2" fillId="0" borderId="2" xfId="0" applyFont="1" applyBorder="1" applyAlignment="1" applyProtection="1">
      <alignment horizontal="center" vertical="top"/>
      <protection locked="0"/>
    </xf>
    <xf numFmtId="9" fontId="2" fillId="0" borderId="2" xfId="0" applyNumberFormat="1" applyFont="1" applyBorder="1" applyAlignment="1" applyProtection="1">
      <alignment horizontal="center" vertical="top"/>
    </xf>
    <xf numFmtId="0" fontId="2" fillId="0" borderId="2" xfId="0" applyFont="1" applyBorder="1" applyAlignment="1" applyProtection="1">
      <alignment horizontal="center" vertical="top" textRotation="90"/>
      <protection locked="0"/>
    </xf>
    <xf numFmtId="164" fontId="2" fillId="0" borderId="2" xfId="1" applyNumberFormat="1" applyFont="1" applyBorder="1" applyAlignment="1" applyProtection="1">
      <alignment horizontal="center" vertical="top"/>
      <protection locked="0"/>
    </xf>
    <xf numFmtId="9" fontId="2" fillId="0" borderId="4" xfId="0" applyNumberFormat="1" applyFont="1" applyBorder="1" applyAlignment="1" applyProtection="1">
      <alignment horizontal="center" vertical="top"/>
      <protection hidden="1"/>
    </xf>
    <xf numFmtId="0" fontId="5" fillId="0" borderId="2" xfId="0" applyFont="1" applyFill="1" applyBorder="1" applyAlignment="1" applyProtection="1">
      <alignment horizontal="center" vertical="top" textRotation="90" wrapText="1"/>
      <protection hidden="1"/>
    </xf>
    <xf numFmtId="0" fontId="2" fillId="0" borderId="6"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31" fillId="3" borderId="0" xfId="0" applyFont="1" applyFill="1" applyAlignment="1">
      <alignment vertical="top"/>
    </xf>
    <xf numFmtId="0" fontId="34" fillId="3" borderId="0" xfId="0" applyFont="1" applyFill="1" applyAlignment="1">
      <alignment vertical="top"/>
    </xf>
    <xf numFmtId="16" fontId="31" fillId="3" borderId="0" xfId="0" applyNumberFormat="1" applyFont="1" applyFill="1" applyAlignment="1">
      <alignment vertical="top"/>
    </xf>
    <xf numFmtId="0" fontId="32" fillId="3" borderId="0" xfId="0" applyFont="1" applyFill="1" applyAlignment="1">
      <alignment horizontal="left" vertical="top"/>
    </xf>
    <xf numFmtId="0" fontId="35" fillId="3" borderId="0" xfId="0" applyFont="1" applyFill="1" applyAlignment="1">
      <alignment horizontal="left" vertical="top"/>
    </xf>
    <xf numFmtId="9" fontId="32" fillId="0" borderId="27" xfId="0" applyNumberFormat="1" applyFont="1" applyBorder="1" applyAlignment="1" applyProtection="1">
      <alignment horizontal="left" vertical="top" wrapText="1"/>
      <protection locked="0"/>
    </xf>
    <xf numFmtId="0" fontId="32" fillId="0" borderId="27" xfId="0" applyFont="1" applyBorder="1" applyAlignment="1" applyProtection="1">
      <alignment horizontal="left" vertical="top"/>
    </xf>
    <xf numFmtId="0" fontId="32" fillId="0" borderId="27" xfId="0" applyFont="1" applyBorder="1" applyAlignment="1" applyProtection="1">
      <alignment horizontal="left" vertical="top"/>
      <protection hidden="1"/>
    </xf>
    <xf numFmtId="0" fontId="31" fillId="0" borderId="27" xfId="0" applyFont="1" applyBorder="1" applyAlignment="1" applyProtection="1">
      <alignment horizontal="left" vertical="top" textRotation="90" wrapText="1"/>
      <protection locked="0"/>
    </xf>
    <xf numFmtId="9" fontId="32" fillId="0" borderId="27" xfId="0" applyNumberFormat="1" applyFont="1" applyBorder="1" applyAlignment="1" applyProtection="1">
      <alignment horizontal="left" vertical="top"/>
      <protection hidden="1"/>
    </xf>
    <xf numFmtId="164" fontId="32" fillId="0" borderId="27" xfId="1" applyNumberFormat="1" applyFont="1" applyBorder="1" applyAlignment="1">
      <alignment horizontal="left" vertical="top"/>
    </xf>
    <xf numFmtId="0" fontId="35" fillId="0" borderId="27" xfId="0" applyFont="1" applyFill="1" applyBorder="1" applyAlignment="1" applyProtection="1">
      <alignment horizontal="left" vertical="top" textRotation="90" wrapText="1"/>
      <protection hidden="1"/>
    </xf>
    <xf numFmtId="0" fontId="35" fillId="0" borderId="27" xfId="0" applyFont="1" applyBorder="1" applyAlignment="1" applyProtection="1">
      <alignment horizontal="left" vertical="top" textRotation="90"/>
      <protection hidden="1"/>
    </xf>
    <xf numFmtId="0" fontId="32" fillId="0" borderId="27" xfId="0" applyFont="1" applyBorder="1" applyAlignment="1" applyProtection="1">
      <alignment horizontal="left" vertical="top" textRotation="90" wrapText="1"/>
      <protection locked="0"/>
    </xf>
    <xf numFmtId="14" fontId="31" fillId="0" borderId="27" xfId="0" applyNumberFormat="1" applyFont="1" applyBorder="1" applyAlignment="1" applyProtection="1">
      <alignment horizontal="left" vertical="top"/>
      <protection locked="0"/>
    </xf>
    <xf numFmtId="0" fontId="32" fillId="0" borderId="0" xfId="0" applyFont="1" applyAlignment="1">
      <alignment horizontal="left" vertical="top"/>
    </xf>
    <xf numFmtId="0" fontId="31" fillId="0" borderId="27" xfId="0" applyFont="1" applyBorder="1" applyAlignment="1" applyProtection="1">
      <alignment horizontal="left" vertical="top"/>
    </xf>
    <xf numFmtId="0" fontId="31" fillId="0" borderId="27" xfId="0" applyFont="1" applyBorder="1" applyAlignment="1" applyProtection="1">
      <alignment horizontal="left" vertical="top" wrapText="1"/>
      <protection hidden="1"/>
    </xf>
    <xf numFmtId="164" fontId="31" fillId="0" borderId="27" xfId="1" applyNumberFormat="1" applyFont="1" applyBorder="1" applyAlignment="1">
      <alignment horizontal="left" vertical="top" wrapText="1"/>
    </xf>
    <xf numFmtId="0" fontId="34" fillId="0" borderId="27" xfId="0" applyFont="1" applyFill="1" applyBorder="1" applyAlignment="1" applyProtection="1">
      <alignment horizontal="left" vertical="top" textRotation="90" wrapText="1"/>
      <protection hidden="1"/>
    </xf>
    <xf numFmtId="0" fontId="34" fillId="0" borderId="27" xfId="0" applyFont="1" applyBorder="1" applyAlignment="1" applyProtection="1">
      <alignment horizontal="left" vertical="top" textRotation="90" wrapText="1"/>
      <protection hidden="1"/>
    </xf>
    <xf numFmtId="0" fontId="32" fillId="0" borderId="27" xfId="0" applyFont="1" applyBorder="1" applyAlignment="1" applyProtection="1">
      <alignment horizontal="left" vertical="top" wrapText="1"/>
      <protection hidden="1"/>
    </xf>
    <xf numFmtId="164" fontId="32" fillId="0" borderId="27" xfId="1" applyNumberFormat="1" applyFont="1" applyBorder="1" applyAlignment="1">
      <alignment horizontal="left" vertical="top" wrapText="1"/>
    </xf>
    <xf numFmtId="0" fontId="35" fillId="0" borderId="27" xfId="0" applyFont="1" applyBorder="1" applyAlignment="1" applyProtection="1">
      <alignment horizontal="left" vertical="top" textRotation="90" wrapText="1"/>
      <protection hidden="1"/>
    </xf>
    <xf numFmtId="9" fontId="31" fillId="0" borderId="27" xfId="0" applyNumberFormat="1" applyFont="1" applyBorder="1" applyAlignment="1" applyProtection="1">
      <alignment horizontal="left" vertical="top"/>
      <protection hidden="1"/>
    </xf>
    <xf numFmtId="0" fontId="35" fillId="0" borderId="0" xfId="0" applyFont="1" applyAlignment="1">
      <alignment horizontal="left" vertical="top"/>
    </xf>
    <xf numFmtId="0" fontId="32" fillId="0" borderId="31" xfId="0" applyFont="1" applyBorder="1" applyAlignment="1" applyProtection="1">
      <alignment horizontal="left" vertical="top" wrapText="1"/>
      <protection locked="0"/>
    </xf>
    <xf numFmtId="14" fontId="31" fillId="0" borderId="31" xfId="0" applyNumberFormat="1" applyFont="1" applyBorder="1" applyAlignment="1" applyProtection="1">
      <alignment horizontal="left" vertical="top"/>
      <protection locked="0"/>
    </xf>
    <xf numFmtId="0" fontId="31" fillId="0" borderId="31" xfId="0" applyFont="1" applyBorder="1" applyAlignment="1" applyProtection="1">
      <alignment horizontal="left" vertical="top" wrapText="1"/>
      <protection locked="0"/>
    </xf>
    <xf numFmtId="0" fontId="32" fillId="0" borderId="27" xfId="0" applyFont="1" applyBorder="1" applyAlignment="1" applyProtection="1">
      <alignment horizontal="left" vertical="top" wrapText="1"/>
    </xf>
    <xf numFmtId="0" fontId="35" fillId="0" borderId="27" xfId="0" applyFont="1" applyFill="1" applyBorder="1" applyAlignment="1" applyProtection="1">
      <alignment horizontal="left" vertical="top" wrapText="1"/>
      <protection hidden="1"/>
    </xf>
    <xf numFmtId="9" fontId="32" fillId="0" borderId="27" xfId="0" applyNumberFormat="1" applyFont="1" applyBorder="1" applyAlignment="1" applyProtection="1">
      <alignment horizontal="left" vertical="top" wrapText="1"/>
      <protection hidden="1"/>
    </xf>
    <xf numFmtId="0" fontId="35" fillId="0" borderId="27" xfId="0" applyFont="1" applyBorder="1" applyAlignment="1" applyProtection="1">
      <alignment horizontal="left" vertical="top"/>
      <protection hidden="1"/>
    </xf>
    <xf numFmtId="0" fontId="34" fillId="0" borderId="27" xfId="0" applyFont="1" applyBorder="1" applyAlignment="1" applyProtection="1">
      <alignment horizontal="left" vertical="top"/>
      <protection hidden="1"/>
    </xf>
    <xf numFmtId="14" fontId="32" fillId="0" borderId="27" xfId="0" applyNumberFormat="1" applyFont="1" applyBorder="1" applyAlignment="1" applyProtection="1">
      <alignment horizontal="left" vertical="top" wrapText="1"/>
      <protection locked="0"/>
    </xf>
    <xf numFmtId="0" fontId="32" fillId="0" borderId="27" xfId="0" applyFont="1" applyBorder="1" applyAlignment="1" applyProtection="1">
      <alignment horizontal="left" vertical="top"/>
      <protection locked="0"/>
    </xf>
    <xf numFmtId="9" fontId="32" fillId="0" borderId="31" xfId="0" applyNumberFormat="1" applyFont="1" applyBorder="1" applyAlignment="1" applyProtection="1">
      <alignment horizontal="left" vertical="top" wrapText="1"/>
      <protection hidden="1"/>
    </xf>
    <xf numFmtId="9" fontId="32" fillId="0" borderId="31" xfId="0" applyNumberFormat="1" applyFont="1" applyBorder="1" applyAlignment="1" applyProtection="1">
      <alignment horizontal="left" vertical="top" wrapText="1"/>
      <protection locked="0"/>
    </xf>
    <xf numFmtId="0" fontId="31" fillId="0" borderId="27" xfId="0" applyFont="1" applyBorder="1" applyAlignment="1" applyProtection="1">
      <alignment horizontal="left" vertical="top" wrapText="1"/>
      <protection locked="0"/>
    </xf>
    <xf numFmtId="0" fontId="34" fillId="0" borderId="27" xfId="0" applyFont="1" applyFill="1" applyBorder="1" applyAlignment="1" applyProtection="1">
      <alignment horizontal="left" vertical="top" wrapText="1"/>
      <protection hidden="1"/>
    </xf>
    <xf numFmtId="9" fontId="31" fillId="0" borderId="27" xfId="0" applyNumberFormat="1" applyFont="1" applyBorder="1" applyAlignment="1" applyProtection="1">
      <alignment horizontal="left" vertical="top" wrapText="1"/>
      <protection hidden="1"/>
    </xf>
    <xf numFmtId="0" fontId="32" fillId="0" borderId="27" xfId="0" applyFont="1" applyBorder="1" applyAlignment="1" applyProtection="1">
      <alignment horizontal="left" vertical="top" wrapText="1"/>
      <protection locked="0"/>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5" fillId="14" borderId="27" xfId="0" applyFont="1" applyFill="1" applyBorder="1" applyAlignment="1">
      <alignment horizontal="left" vertical="top" textRotation="90"/>
    </xf>
    <xf numFmtId="0" fontId="35" fillId="14" borderId="27" xfId="0" applyFont="1" applyFill="1" applyBorder="1" applyAlignment="1">
      <alignment horizontal="left" vertical="top"/>
    </xf>
    <xf numFmtId="0" fontId="35" fillId="14" borderId="29" xfId="0" applyFont="1" applyFill="1" applyBorder="1" applyAlignment="1">
      <alignment horizontal="left" vertical="top"/>
    </xf>
    <xf numFmtId="0" fontId="34" fillId="14" borderId="28" xfId="0" applyFont="1" applyFill="1" applyBorder="1" applyAlignment="1">
      <alignment horizontal="left" vertical="top" wrapText="1"/>
    </xf>
    <xf numFmtId="0" fontId="35" fillId="14" borderId="28" xfId="0" applyFont="1" applyFill="1" applyBorder="1" applyAlignment="1">
      <alignment horizontal="left" vertical="top" wrapText="1"/>
    </xf>
    <xf numFmtId="0" fontId="32" fillId="0" borderId="31" xfId="0" applyFont="1" applyBorder="1" applyAlignment="1" applyProtection="1">
      <alignment horizontal="left" vertical="top"/>
      <protection locked="0"/>
    </xf>
    <xf numFmtId="0" fontId="35" fillId="0" borderId="31" xfId="0" applyFont="1" applyFill="1" applyBorder="1" applyAlignment="1" applyProtection="1">
      <alignment horizontal="left" vertical="top" wrapText="1"/>
      <protection hidden="1"/>
    </xf>
    <xf numFmtId="0" fontId="35" fillId="14" borderId="27" xfId="0" applyFont="1" applyFill="1" applyBorder="1" applyAlignment="1">
      <alignment horizontal="center" vertical="top" wrapText="1"/>
    </xf>
    <xf numFmtId="0" fontId="31" fillId="3" borderId="27" xfId="2" applyFont="1" applyFill="1" applyBorder="1" applyAlignment="1" applyProtection="1">
      <alignment horizontal="justify" vertical="top" wrapText="1"/>
    </xf>
    <xf numFmtId="9" fontId="32" fillId="0" borderId="27" xfId="0" applyNumberFormat="1" applyFont="1" applyBorder="1" applyAlignment="1" applyProtection="1">
      <alignment horizontal="left" vertical="top" wrapText="1"/>
      <protection hidden="1"/>
    </xf>
    <xf numFmtId="0" fontId="32" fillId="0" borderId="31" xfId="0" applyFont="1" applyBorder="1" applyAlignment="1" applyProtection="1">
      <alignment horizontal="left" vertical="top" wrapText="1"/>
      <protection hidden="1"/>
    </xf>
    <xf numFmtId="0" fontId="32" fillId="0" borderId="31" xfId="0" applyFont="1" applyBorder="1" applyAlignment="1" applyProtection="1">
      <alignment horizontal="left" vertical="top" textRotation="90" wrapText="1"/>
      <protection locked="0"/>
    </xf>
    <xf numFmtId="164" fontId="32" fillId="0" borderId="31" xfId="1" applyNumberFormat="1" applyFont="1" applyBorder="1" applyAlignment="1">
      <alignment horizontal="left" vertical="top" wrapText="1"/>
    </xf>
    <xf numFmtId="0" fontId="35" fillId="0" borderId="31" xfId="0" applyFont="1" applyFill="1" applyBorder="1" applyAlignment="1" applyProtection="1">
      <alignment horizontal="left" vertical="top" textRotation="90" wrapText="1"/>
      <protection hidden="1"/>
    </xf>
    <xf numFmtId="0" fontId="35" fillId="0" borderId="31" xfId="0" applyFont="1" applyBorder="1" applyAlignment="1" applyProtection="1">
      <alignment horizontal="left" vertical="top" textRotation="90" wrapText="1"/>
      <protection hidden="1"/>
    </xf>
    <xf numFmtId="0" fontId="32" fillId="0" borderId="31" xfId="0" applyFont="1" applyBorder="1" applyAlignment="1" applyProtection="1">
      <alignment horizontal="left" vertical="top" wrapText="1"/>
    </xf>
    <xf numFmtId="9" fontId="31" fillId="0" borderId="27" xfId="0" applyNumberFormat="1" applyFont="1" applyBorder="1" applyAlignment="1" applyProtection="1">
      <alignment horizontal="left" vertical="top" wrapText="1"/>
      <protection locked="0"/>
    </xf>
    <xf numFmtId="14" fontId="31" fillId="0" borderId="27" xfId="0" applyNumberFormat="1" applyFont="1" applyBorder="1" applyAlignment="1" applyProtection="1">
      <alignment horizontal="left" vertical="top" wrapText="1"/>
      <protection locked="0"/>
    </xf>
    <xf numFmtId="14" fontId="32" fillId="0" borderId="31" xfId="0" applyNumberFormat="1" applyFont="1" applyBorder="1" applyAlignment="1" applyProtection="1">
      <alignment horizontal="left" vertical="top" wrapText="1"/>
      <protection locked="0"/>
    </xf>
    <xf numFmtId="0" fontId="34" fillId="14" borderId="27" xfId="0" applyFont="1" applyFill="1" applyBorder="1" applyAlignment="1">
      <alignment horizontal="left" vertical="top" wrapText="1"/>
    </xf>
    <xf numFmtId="0" fontId="34" fillId="0" borderId="27" xfId="0" applyFont="1" applyBorder="1" applyAlignment="1" applyProtection="1">
      <alignment horizontal="left" vertical="top"/>
    </xf>
    <xf numFmtId="0" fontId="31" fillId="3" borderId="31" xfId="0" applyFont="1" applyFill="1" applyBorder="1" applyAlignment="1">
      <alignment horizontal="left" vertical="top" wrapText="1"/>
    </xf>
    <xf numFmtId="0" fontId="34" fillId="3" borderId="27" xfId="0" applyFont="1" applyFill="1" applyBorder="1" applyAlignment="1" applyProtection="1">
      <alignment horizontal="left" vertical="top"/>
    </xf>
    <xf numFmtId="0" fontId="31" fillId="3" borderId="27" xfId="0" applyFont="1" applyFill="1" applyBorder="1" applyAlignment="1">
      <alignment horizontal="left" vertical="top" wrapText="1"/>
    </xf>
    <xf numFmtId="0" fontId="35" fillId="0" borderId="27" xfId="0" applyFont="1" applyBorder="1" applyAlignment="1" applyProtection="1">
      <alignment horizontal="left" vertical="top"/>
    </xf>
    <xf numFmtId="0" fontId="35" fillId="0" borderId="27" xfId="0" applyFont="1" applyBorder="1" applyAlignment="1">
      <alignment horizontal="left" vertical="top"/>
    </xf>
    <xf numFmtId="0" fontId="32" fillId="0" borderId="27" xfId="0" applyFont="1" applyBorder="1" applyAlignment="1">
      <alignment horizontal="left" vertical="top" wrapText="1"/>
    </xf>
    <xf numFmtId="0" fontId="32" fillId="0" borderId="27" xfId="0" applyFont="1" applyBorder="1" applyAlignment="1">
      <alignment vertical="top" wrapText="1"/>
    </xf>
    <xf numFmtId="9" fontId="32" fillId="0" borderId="27" xfId="0" applyNumberFormat="1" applyFont="1" applyBorder="1" applyAlignment="1" applyProtection="1">
      <alignment vertical="top" wrapText="1"/>
      <protection hidden="1"/>
    </xf>
    <xf numFmtId="0" fontId="31" fillId="0" borderId="27" xfId="0" applyFont="1" applyBorder="1" applyAlignment="1" applyProtection="1">
      <alignment horizontal="left" vertical="top" wrapText="1"/>
    </xf>
    <xf numFmtId="0" fontId="37" fillId="14" borderId="27" xfId="0" applyFont="1" applyFill="1" applyBorder="1" applyAlignment="1">
      <alignment horizontal="left" vertical="top" wrapText="1"/>
    </xf>
    <xf numFmtId="0" fontId="38" fillId="3" borderId="27" xfId="0" applyFont="1" applyFill="1" applyBorder="1" applyAlignment="1">
      <alignment horizontal="left" vertical="top" wrapText="1"/>
    </xf>
    <xf numFmtId="9" fontId="38" fillId="3" borderId="27" xfId="0" applyNumberFormat="1" applyFont="1" applyFill="1" applyBorder="1" applyAlignment="1">
      <alignment horizontal="left" vertical="top" wrapText="1"/>
    </xf>
    <xf numFmtId="0" fontId="37" fillId="14" borderId="27" xfId="0" applyFont="1" applyFill="1" applyBorder="1" applyAlignment="1">
      <alignment vertical="top" wrapText="1"/>
    </xf>
    <xf numFmtId="0" fontId="34" fillId="14" borderId="27" xfId="0" applyFont="1" applyFill="1" applyBorder="1" applyAlignment="1">
      <alignment horizontal="left" vertical="top"/>
    </xf>
    <xf numFmtId="0" fontId="34" fillId="6" borderId="27" xfId="0" applyFont="1" applyFill="1" applyBorder="1" applyAlignment="1">
      <alignment horizontal="left" vertical="top" wrapText="1"/>
    </xf>
    <xf numFmtId="0" fontId="31" fillId="5" borderId="27" xfId="0" applyFont="1" applyFill="1" applyBorder="1" applyAlignment="1">
      <alignment horizontal="left" vertical="top" wrapText="1"/>
    </xf>
    <xf numFmtId="0" fontId="31" fillId="0" borderId="27" xfId="0" applyFont="1" applyBorder="1" applyAlignment="1">
      <alignment horizontal="left" vertical="top" wrapText="1"/>
    </xf>
    <xf numFmtId="0" fontId="31" fillId="7" borderId="27" xfId="0" applyFont="1" applyFill="1" applyBorder="1" applyAlignment="1">
      <alignment horizontal="left" vertical="top" wrapText="1"/>
    </xf>
    <xf numFmtId="0" fontId="31" fillId="4" borderId="27" xfId="0" applyFont="1" applyFill="1" applyBorder="1" applyAlignment="1">
      <alignment horizontal="left" vertical="top" wrapText="1"/>
    </xf>
    <xf numFmtId="0" fontId="31" fillId="8" borderId="27" xfId="0" applyFont="1" applyFill="1" applyBorder="1" applyAlignment="1">
      <alignment horizontal="left" vertical="top" wrapText="1"/>
    </xf>
    <xf numFmtId="0" fontId="31" fillId="9" borderId="27" xfId="0" applyFont="1" applyFill="1" applyBorder="1" applyAlignment="1">
      <alignment horizontal="left" vertical="top" wrapText="1"/>
    </xf>
    <xf numFmtId="0" fontId="32" fillId="0" borderId="27" xfId="0" applyFont="1" applyBorder="1" applyAlignment="1">
      <alignment horizontal="left" vertical="top"/>
    </xf>
    <xf numFmtId="0" fontId="36" fillId="3" borderId="0" xfId="0" applyFont="1" applyFill="1" applyAlignment="1">
      <alignment horizontal="left" vertical="top"/>
    </xf>
    <xf numFmtId="0" fontId="38" fillId="3" borderId="0" xfId="0" applyFont="1" applyFill="1" applyBorder="1" applyAlignment="1">
      <alignment horizontal="left" vertical="top" wrapText="1"/>
    </xf>
    <xf numFmtId="0" fontId="31" fillId="3" borderId="0" xfId="0" applyFont="1" applyFill="1" applyAlignment="1">
      <alignment horizontal="left" vertical="top"/>
    </xf>
    <xf numFmtId="0" fontId="36" fillId="0" borderId="0" xfId="0" applyFont="1" applyAlignment="1">
      <alignment horizontal="left" vertical="top"/>
    </xf>
    <xf numFmtId="0" fontId="38" fillId="0" borderId="0" xfId="0" applyFont="1" applyBorder="1" applyAlignment="1">
      <alignment horizontal="left" vertical="top" wrapText="1"/>
    </xf>
    <xf numFmtId="0" fontId="39" fillId="0" borderId="0" xfId="0" applyFont="1" applyFill="1" applyAlignment="1">
      <alignment horizontal="left" vertical="top"/>
    </xf>
    <xf numFmtId="0" fontId="32" fillId="0" borderId="0" xfId="0" pivotButton="1"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31" fillId="0" borderId="0" xfId="0" applyFont="1" applyAlignment="1">
      <alignment horizontal="left" vertical="top"/>
    </xf>
    <xf numFmtId="0" fontId="32" fillId="3" borderId="27" xfId="0" applyFont="1" applyFill="1" applyBorder="1" applyAlignment="1">
      <alignment horizontal="left" vertical="top"/>
    </xf>
    <xf numFmtId="0" fontId="38" fillId="3" borderId="27" xfId="0" applyFont="1" applyFill="1" applyBorder="1" applyAlignment="1">
      <alignment horizontal="left" vertical="top"/>
    </xf>
    <xf numFmtId="0" fontId="37" fillId="6" borderId="27" xfId="0" applyFont="1" applyFill="1" applyBorder="1" applyAlignment="1">
      <alignment horizontal="left" vertical="top" wrapText="1"/>
    </xf>
    <xf numFmtId="0" fontId="38" fillId="5" borderId="27" xfId="0" applyFont="1" applyFill="1" applyBorder="1" applyAlignment="1">
      <alignment horizontal="left" vertical="top" wrapText="1"/>
    </xf>
    <xf numFmtId="0" fontId="38" fillId="0" borderId="27" xfId="0" applyFont="1" applyBorder="1" applyAlignment="1">
      <alignment horizontal="left" vertical="top" wrapText="1"/>
    </xf>
    <xf numFmtId="9" fontId="38" fillId="0" borderId="27" xfId="0" applyNumberFormat="1" applyFont="1" applyBorder="1" applyAlignment="1">
      <alignment horizontal="left" vertical="top" wrapText="1"/>
    </xf>
    <xf numFmtId="0" fontId="38" fillId="7" borderId="27" xfId="0" applyFont="1" applyFill="1" applyBorder="1" applyAlignment="1">
      <alignment horizontal="left" vertical="top" wrapText="1"/>
    </xf>
    <xf numFmtId="0" fontId="38" fillId="4" borderId="27" xfId="0" applyFont="1" applyFill="1" applyBorder="1" applyAlignment="1">
      <alignment horizontal="left" vertical="top" wrapText="1"/>
    </xf>
    <xf numFmtId="0" fontId="38" fillId="8" borderId="27" xfId="0" applyFont="1" applyFill="1" applyBorder="1" applyAlignment="1">
      <alignment horizontal="left" vertical="top" wrapText="1"/>
    </xf>
    <xf numFmtId="16" fontId="31" fillId="3" borderId="0" xfId="0" applyNumberFormat="1" applyFont="1" applyFill="1" applyAlignment="1">
      <alignment horizontal="left" vertical="top"/>
    </xf>
    <xf numFmtId="0" fontId="35" fillId="3" borderId="27" xfId="0" applyFont="1" applyFill="1" applyBorder="1" applyAlignment="1">
      <alignment vertical="top"/>
    </xf>
    <xf numFmtId="0" fontId="35" fillId="3" borderId="27" xfId="0" applyFont="1" applyFill="1" applyBorder="1" applyAlignment="1">
      <alignment horizontal="left" vertical="top"/>
    </xf>
    <xf numFmtId="0" fontId="31" fillId="3" borderId="27" xfId="0" applyFont="1" applyFill="1" applyBorder="1" applyAlignment="1">
      <alignment vertical="top" wrapText="1"/>
    </xf>
    <xf numFmtId="0" fontId="32" fillId="3" borderId="27" xfId="0" applyFont="1" applyFill="1" applyBorder="1" applyAlignment="1">
      <alignment vertical="top" wrapText="1"/>
    </xf>
    <xf numFmtId="0" fontId="43" fillId="3" borderId="27" xfId="5" applyFont="1" applyFill="1" applyBorder="1" applyAlignment="1">
      <alignment vertical="top" wrapText="1"/>
    </xf>
    <xf numFmtId="0" fontId="31" fillId="3" borderId="27" xfId="0" applyFont="1" applyFill="1" applyBorder="1" applyAlignment="1">
      <alignment vertical="top"/>
    </xf>
    <xf numFmtId="0" fontId="32" fillId="3" borderId="27" xfId="0" applyFont="1" applyFill="1" applyBorder="1" applyAlignment="1">
      <alignment horizontal="left" vertical="top" wrapText="1"/>
    </xf>
    <xf numFmtId="0" fontId="31" fillId="3" borderId="27" xfId="0" applyFont="1" applyFill="1" applyBorder="1" applyAlignment="1">
      <alignment horizontal="left" vertical="top"/>
    </xf>
    <xf numFmtId="0" fontId="43" fillId="3" borderId="27" xfId="5" applyFont="1" applyFill="1" applyBorder="1" applyAlignment="1">
      <alignment horizontal="left" vertical="top" wrapText="1"/>
    </xf>
    <xf numFmtId="0" fontId="26" fillId="0" borderId="0" xfId="0" applyFont="1" applyAlignment="1">
      <alignment horizontal="left" vertical="top"/>
    </xf>
    <xf numFmtId="0" fontId="27" fillId="0" borderId="0" xfId="0" applyFont="1" applyAlignment="1">
      <alignment horizontal="left" vertical="top"/>
    </xf>
    <xf numFmtId="0" fontId="43" fillId="0" borderId="27" xfId="5" applyFont="1" applyBorder="1" applyAlignment="1">
      <alignment horizontal="left" vertical="top" wrapText="1"/>
    </xf>
    <xf numFmtId="0" fontId="35" fillId="13" borderId="27" xfId="0" applyFont="1" applyFill="1" applyBorder="1" applyAlignment="1">
      <alignment horizontal="left" vertical="top"/>
    </xf>
    <xf numFmtId="0" fontId="35" fillId="13" borderId="30" xfId="0" applyFont="1" applyFill="1" applyBorder="1" applyAlignment="1">
      <alignment horizontal="left" vertical="top"/>
    </xf>
    <xf numFmtId="0" fontId="34" fillId="3" borderId="27" xfId="0" applyFont="1" applyFill="1" applyBorder="1" applyAlignment="1">
      <alignment vertical="top"/>
    </xf>
    <xf numFmtId="0" fontId="31" fillId="0" borderId="27" xfId="2" quotePrefix="1" applyFont="1" applyBorder="1" applyAlignment="1" applyProtection="1">
      <alignment vertical="top" wrapText="1"/>
    </xf>
    <xf numFmtId="0" fontId="35" fillId="14" borderId="27" xfId="0" applyFont="1" applyFill="1" applyBorder="1" applyAlignment="1">
      <alignment vertical="top" wrapText="1"/>
    </xf>
    <xf numFmtId="0" fontId="31" fillId="3" borderId="27" xfId="2" quotePrefix="1" applyFont="1" applyFill="1" applyBorder="1" applyAlignment="1" applyProtection="1">
      <alignment vertical="top" wrapText="1"/>
    </xf>
    <xf numFmtId="0" fontId="31" fillId="3" borderId="27" xfId="3" applyFont="1" applyFill="1" applyBorder="1" applyAlignment="1" applyProtection="1">
      <alignment vertical="top" wrapText="1"/>
    </xf>
    <xf numFmtId="0" fontId="31" fillId="3" borderId="27" xfId="0" applyFont="1" applyFill="1" applyBorder="1" applyAlignment="1" applyProtection="1">
      <alignment vertical="top" wrapText="1"/>
    </xf>
    <xf numFmtId="0" fontId="31" fillId="3" borderId="27" xfId="2" applyFont="1" applyFill="1" applyBorder="1" applyAlignment="1" applyProtection="1">
      <alignment vertical="top" wrapText="1"/>
    </xf>
    <xf numFmtId="0" fontId="35" fillId="14" borderId="29" xfId="0" applyFont="1" applyFill="1" applyBorder="1" applyAlignment="1">
      <alignment horizontal="left" vertical="top" wrapText="1"/>
    </xf>
    <xf numFmtId="9" fontId="32" fillId="0" borderId="29" xfId="0" applyNumberFormat="1" applyFont="1" applyBorder="1" applyAlignment="1" applyProtection="1">
      <alignment horizontal="left" vertical="top" wrapText="1"/>
      <protection locked="0"/>
    </xf>
    <xf numFmtId="9" fontId="32" fillId="0" borderId="32" xfId="0" applyNumberFormat="1" applyFont="1" applyBorder="1" applyAlignment="1" applyProtection="1">
      <alignment horizontal="left" vertical="top" wrapText="1"/>
      <protection locked="0"/>
    </xf>
    <xf numFmtId="0" fontId="35" fillId="3" borderId="0" xfId="0" applyFont="1" applyFill="1" applyAlignment="1">
      <alignment horizontal="left" vertical="top" wrapText="1"/>
    </xf>
    <xf numFmtId="0" fontId="35" fillId="0" borderId="0" xfId="0" applyFont="1" applyAlignment="1">
      <alignment horizontal="left" vertical="top" wrapText="1"/>
    </xf>
    <xf numFmtId="0" fontId="35" fillId="2" borderId="0" xfId="0" applyFont="1" applyFill="1" applyAlignment="1">
      <alignment horizontal="left" vertical="top" wrapText="1"/>
    </xf>
    <xf numFmtId="0" fontId="31" fillId="0" borderId="27" xfId="0" applyFont="1" applyBorder="1" applyAlignment="1" applyProtection="1">
      <alignment horizontal="left" vertical="top" textRotation="90" wrapText="1"/>
      <protection locked="0"/>
    </xf>
    <xf numFmtId="0" fontId="32" fillId="3" borderId="0" xfId="0" applyFont="1" applyFill="1" applyAlignment="1">
      <alignment horizontal="left" vertical="top" wrapText="1"/>
    </xf>
    <xf numFmtId="0" fontId="32" fillId="0" borderId="0" xfId="0" applyFont="1" applyAlignment="1">
      <alignment horizontal="left" vertical="top" wrapText="1"/>
    </xf>
    <xf numFmtId="0" fontId="35" fillId="0" borderId="27" xfId="0" applyFont="1" applyBorder="1" applyAlignment="1" applyProtection="1">
      <alignment horizontal="left" vertical="top" wrapText="1"/>
      <protection hidden="1"/>
    </xf>
    <xf numFmtId="9" fontId="32" fillId="0" borderId="27" xfId="0" applyNumberFormat="1" applyFont="1" applyBorder="1" applyAlignment="1" applyProtection="1">
      <alignment horizontal="left" vertical="top" wrapText="1"/>
      <protection hidden="1"/>
    </xf>
    <xf numFmtId="0" fontId="32" fillId="0" borderId="27" xfId="0" applyFont="1" applyBorder="1" applyAlignment="1" applyProtection="1">
      <alignment horizontal="left" vertical="top" textRotation="90" wrapText="1"/>
      <protection locked="0"/>
    </xf>
    <xf numFmtId="0" fontId="31" fillId="0" borderId="27" xfId="5" applyFont="1" applyBorder="1" applyAlignment="1" applyProtection="1">
      <alignment horizontal="left" vertical="top" wrapText="1"/>
      <protection locked="0"/>
    </xf>
    <xf numFmtId="0" fontId="42" fillId="0" borderId="0" xfId="0" applyFont="1" applyAlignment="1">
      <alignment horizontal="left" vertical="top" wrapText="1"/>
    </xf>
    <xf numFmtId="0" fontId="32" fillId="3" borderId="27" xfId="0" applyFont="1" applyFill="1" applyBorder="1" applyAlignment="1" applyProtection="1">
      <alignment horizontal="left" vertical="top" wrapText="1"/>
      <protection locked="0"/>
    </xf>
    <xf numFmtId="0" fontId="31" fillId="0" borderId="0" xfId="0" applyFont="1" applyAlignment="1">
      <alignment horizontal="left" vertical="top" wrapText="1"/>
    </xf>
    <xf numFmtId="0" fontId="31" fillId="3" borderId="27" xfId="0" applyFont="1" applyFill="1" applyBorder="1" applyAlignment="1" applyProtection="1">
      <alignment horizontal="left" vertical="top" wrapText="1"/>
      <protection locked="0"/>
    </xf>
    <xf numFmtId="0" fontId="44" fillId="3" borderId="0" xfId="5" applyFont="1" applyFill="1" applyAlignment="1">
      <alignment horizontal="left" vertical="top" wrapText="1"/>
    </xf>
    <xf numFmtId="0" fontId="1" fillId="0" borderId="0" xfId="0" applyFont="1" applyAlignment="1">
      <alignment horizontal="left" vertical="top"/>
    </xf>
    <xf numFmtId="0" fontId="34" fillId="0" borderId="4" xfId="0" applyFont="1" applyFill="1" applyBorder="1" applyAlignment="1" applyProtection="1">
      <alignment horizontal="left" vertical="top" wrapText="1"/>
      <protection hidden="1"/>
    </xf>
    <xf numFmtId="0" fontId="34" fillId="0" borderId="8" xfId="0" applyFont="1" applyFill="1" applyBorder="1" applyAlignment="1" applyProtection="1">
      <alignment horizontal="left" vertical="top" wrapText="1"/>
      <protection hidden="1"/>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1" fillId="0" borderId="31" xfId="0" applyFont="1" applyBorder="1" applyAlignment="1" applyProtection="1">
      <alignment horizontal="left" vertical="top" wrapText="1"/>
    </xf>
    <xf numFmtId="0" fontId="35" fillId="0" borderId="31" xfId="0" applyFont="1" applyBorder="1" applyAlignment="1" applyProtection="1">
      <alignment horizontal="left" vertical="top" wrapText="1"/>
      <protection hidden="1"/>
    </xf>
    <xf numFmtId="0" fontId="31" fillId="3" borderId="31" xfId="0" applyFont="1" applyFill="1" applyBorder="1" applyAlignment="1" applyProtection="1">
      <alignment horizontal="left" vertical="top" wrapText="1"/>
      <protection locked="0"/>
    </xf>
    <xf numFmtId="0" fontId="34" fillId="3" borderId="27" xfId="0" applyFont="1" applyFill="1" applyBorder="1" applyAlignment="1" applyProtection="1">
      <alignment horizontal="left" vertical="top" wrapText="1"/>
    </xf>
    <xf numFmtId="0" fontId="35" fillId="3" borderId="27" xfId="0" applyFont="1" applyFill="1" applyBorder="1" applyAlignment="1" applyProtection="1">
      <alignment horizontal="left" vertical="top" wrapText="1"/>
    </xf>
    <xf numFmtId="0" fontId="35" fillId="3" borderId="31" xfId="0" applyFont="1" applyFill="1" applyBorder="1" applyAlignment="1" applyProtection="1">
      <alignment horizontal="left" vertical="top" wrapText="1"/>
    </xf>
    <xf numFmtId="0" fontId="35" fillId="14" borderId="27" xfId="0" applyFont="1" applyFill="1" applyBorder="1" applyAlignment="1">
      <alignment horizontal="left" vertical="top" wrapText="1"/>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5" fillId="3" borderId="0" xfId="0" applyFont="1" applyFill="1" applyBorder="1" applyAlignment="1">
      <alignment horizontal="center" vertical="top" wrapText="1"/>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9" fillId="2" borderId="4" xfId="0" applyFont="1" applyFill="1" applyBorder="1" applyAlignment="1">
      <alignment horizontal="center" vertical="center" textRotation="90"/>
    </xf>
    <xf numFmtId="0" fontId="19" fillId="2" borderId="5" xfId="0" applyFont="1" applyFill="1" applyBorder="1" applyAlignment="1">
      <alignment horizontal="center" vertical="center" textRotation="90"/>
    </xf>
    <xf numFmtId="0" fontId="30"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xf>
    <xf numFmtId="0" fontId="30"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5" fillId="2" borderId="2" xfId="0" applyFont="1" applyFill="1" applyBorder="1" applyAlignment="1">
      <alignment horizontal="center" vertical="center" textRotation="90" wrapText="1"/>
    </xf>
    <xf numFmtId="0" fontId="25" fillId="2" borderId="8"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9"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 fillId="0" borderId="4"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5" fillId="2" borderId="4" xfId="0" applyFont="1" applyFill="1" applyBorder="1" applyAlignment="1">
      <alignment horizontal="center" vertical="center" textRotation="90" wrapText="1"/>
    </xf>
    <xf numFmtId="0" fontId="25" fillId="2" borderId="5" xfId="0" applyFont="1" applyFill="1" applyBorder="1" applyAlignment="1">
      <alignment horizontal="center" vertical="center" textRotation="90" wrapText="1"/>
    </xf>
    <xf numFmtId="0" fontId="5" fillId="0" borderId="4" xfId="0" applyFont="1" applyFill="1" applyBorder="1" applyAlignment="1" applyProtection="1">
      <alignment horizontal="center" vertical="top" wrapText="1"/>
      <protection hidden="1"/>
    </xf>
    <xf numFmtId="0" fontId="5" fillId="0" borderId="8" xfId="0" applyFont="1" applyFill="1" applyBorder="1" applyAlignment="1" applyProtection="1">
      <alignment horizontal="center" vertical="top" wrapText="1"/>
      <protection hidden="1"/>
    </xf>
    <xf numFmtId="0" fontId="5" fillId="0" borderId="5" xfId="0" applyFont="1" applyFill="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hidden="1"/>
    </xf>
    <xf numFmtId="9" fontId="2" fillId="0" borderId="8" xfId="0" applyNumberFormat="1" applyFont="1" applyBorder="1" applyAlignment="1" applyProtection="1">
      <alignment horizontal="center" vertical="top" wrapText="1"/>
      <protection hidden="1"/>
    </xf>
    <xf numFmtId="9" fontId="2" fillId="0" borderId="5" xfId="0" applyNumberFormat="1" applyFont="1" applyBorder="1" applyAlignment="1" applyProtection="1">
      <alignment horizontal="center" vertical="top" wrapText="1"/>
      <protection hidden="1"/>
    </xf>
    <xf numFmtId="0" fontId="5" fillId="0" borderId="4" xfId="0" applyFont="1" applyBorder="1" applyAlignment="1" applyProtection="1">
      <alignment horizontal="center" vertical="top"/>
      <protection hidden="1"/>
    </xf>
    <xf numFmtId="0" fontId="5" fillId="0" borderId="8" xfId="0" applyFont="1" applyBorder="1" applyAlignment="1" applyProtection="1">
      <alignment horizontal="center" vertical="top"/>
      <protection hidden="1"/>
    </xf>
    <xf numFmtId="0" fontId="5" fillId="0" borderId="5" xfId="0" applyFont="1" applyBorder="1" applyAlignment="1" applyProtection="1">
      <alignment horizontal="center" vertical="top"/>
      <protection hidden="1"/>
    </xf>
    <xf numFmtId="9" fontId="2" fillId="0" borderId="4" xfId="0" applyNumberFormat="1" applyFont="1" applyBorder="1" applyAlignment="1" applyProtection="1">
      <alignment horizontal="center" vertical="top" wrapText="1"/>
      <protection locked="0"/>
    </xf>
    <xf numFmtId="9" fontId="2" fillId="0" borderId="8" xfId="0" applyNumberFormat="1" applyFont="1" applyBorder="1" applyAlignment="1" applyProtection="1">
      <alignment horizontal="center" vertical="top" wrapText="1"/>
      <protection locked="0"/>
    </xf>
    <xf numFmtId="9" fontId="2" fillId="0" borderId="5" xfId="0" applyNumberFormat="1" applyFont="1" applyBorder="1" applyAlignment="1" applyProtection="1">
      <alignment horizontal="center" vertical="top" wrapText="1"/>
      <protection locked="0"/>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12" fillId="10" borderId="0" xfId="0" applyFont="1" applyFill="1" applyAlignment="1">
      <alignment horizontal="center" vertical="center" textRotation="90" wrapText="1" readingOrder="1"/>
    </xf>
    <xf numFmtId="0" fontId="12" fillId="10" borderId="14" xfId="0" applyFont="1" applyFill="1" applyBorder="1" applyAlignment="1">
      <alignment horizontal="center" vertical="center" textRotation="90" wrapText="1" readingOrder="1"/>
    </xf>
    <xf numFmtId="0" fontId="15" fillId="12" borderId="19" xfId="0" applyFont="1" applyFill="1" applyBorder="1" applyAlignment="1">
      <alignment horizontal="center" vertical="center" wrapText="1" readingOrder="1"/>
    </xf>
    <xf numFmtId="0" fontId="15" fillId="12" borderId="20" xfId="0" applyFont="1" applyFill="1" applyBorder="1" applyAlignment="1">
      <alignment horizontal="center" vertical="center" wrapText="1" readingOrder="1"/>
    </xf>
    <xf numFmtId="0" fontId="15" fillId="12" borderId="21" xfId="0" applyFont="1" applyFill="1" applyBorder="1" applyAlignment="1">
      <alignment horizontal="center" vertical="center" wrapText="1" readingOrder="1"/>
    </xf>
    <xf numFmtId="0" fontId="15" fillId="12" borderId="22" xfId="0" applyFont="1" applyFill="1" applyBorder="1" applyAlignment="1">
      <alignment horizontal="center" vertical="center" wrapText="1" readingOrder="1"/>
    </xf>
    <xf numFmtId="0" fontId="15" fillId="12" borderId="0" xfId="0" applyFont="1" applyFill="1" applyBorder="1" applyAlignment="1">
      <alignment horizontal="center" vertical="center" wrapText="1" readingOrder="1"/>
    </xf>
    <xf numFmtId="0" fontId="15" fillId="12" borderId="23" xfId="0" applyFont="1" applyFill="1" applyBorder="1" applyAlignment="1">
      <alignment horizontal="center" vertical="center" wrapText="1" readingOrder="1"/>
    </xf>
    <xf numFmtId="0" fontId="15" fillId="12" borderId="24" xfId="0" applyFont="1" applyFill="1" applyBorder="1" applyAlignment="1">
      <alignment horizontal="center" vertical="center" wrapText="1" readingOrder="1"/>
    </xf>
    <xf numFmtId="0" fontId="15" fillId="12" borderId="25" xfId="0" applyFont="1" applyFill="1" applyBorder="1" applyAlignment="1">
      <alignment horizontal="center" vertical="center" wrapText="1" readingOrder="1"/>
    </xf>
    <xf numFmtId="0" fontId="15" fillId="12" borderId="26" xfId="0" applyFont="1" applyFill="1" applyBorder="1" applyAlignment="1">
      <alignment horizontal="center" vertical="center" wrapText="1" readingOrder="1"/>
    </xf>
    <xf numFmtId="0" fontId="15" fillId="11" borderId="19" xfId="0" applyFont="1" applyFill="1" applyBorder="1" applyAlignment="1">
      <alignment horizontal="center" vertical="center" wrapText="1" readingOrder="1"/>
    </xf>
    <xf numFmtId="0" fontId="15" fillId="11" borderId="20" xfId="0" applyFont="1" applyFill="1" applyBorder="1" applyAlignment="1">
      <alignment horizontal="center" vertical="center" wrapText="1" readingOrder="1"/>
    </xf>
    <xf numFmtId="0" fontId="15" fillId="11" borderId="21" xfId="0" applyFont="1" applyFill="1" applyBorder="1" applyAlignment="1">
      <alignment horizontal="center" vertical="center" wrapText="1" readingOrder="1"/>
    </xf>
    <xf numFmtId="0" fontId="15" fillId="11" borderId="22" xfId="0" applyFont="1" applyFill="1" applyBorder="1" applyAlignment="1">
      <alignment horizontal="center" vertical="center" wrapText="1" readingOrder="1"/>
    </xf>
    <xf numFmtId="0" fontId="15" fillId="11" borderId="0" xfId="0" applyFont="1" applyFill="1" applyBorder="1" applyAlignment="1">
      <alignment horizontal="center" vertical="center" wrapText="1" readingOrder="1"/>
    </xf>
    <xf numFmtId="0" fontId="15" fillId="11" borderId="23" xfId="0" applyFont="1" applyFill="1" applyBorder="1" applyAlignment="1">
      <alignment horizontal="center" vertical="center" wrapText="1" readingOrder="1"/>
    </xf>
    <xf numFmtId="0" fontId="15" fillId="11" borderId="24" xfId="0" applyFont="1" applyFill="1" applyBorder="1" applyAlignment="1">
      <alignment horizontal="center" vertical="center" wrapText="1" readingOrder="1"/>
    </xf>
    <xf numFmtId="0" fontId="15" fillId="11" borderId="25" xfId="0" applyFont="1" applyFill="1" applyBorder="1" applyAlignment="1">
      <alignment horizontal="center" vertical="center" wrapText="1" readingOrder="1"/>
    </xf>
    <xf numFmtId="0" fontId="15" fillId="11" borderId="26" xfId="0" applyFont="1" applyFill="1" applyBorder="1" applyAlignment="1">
      <alignment horizontal="center" vertical="center" wrapText="1" readingOrder="1"/>
    </xf>
    <xf numFmtId="0" fontId="15" fillId="13" borderId="19" xfId="0" applyFont="1" applyFill="1" applyBorder="1" applyAlignment="1">
      <alignment horizontal="center" vertical="center" wrapText="1" readingOrder="1"/>
    </xf>
    <xf numFmtId="0" fontId="15" fillId="13" borderId="20" xfId="0" applyFont="1" applyFill="1" applyBorder="1" applyAlignment="1">
      <alignment horizontal="center" vertical="center" wrapText="1" readingOrder="1"/>
    </xf>
    <xf numFmtId="0" fontId="15" fillId="13" borderId="21" xfId="0" applyFont="1" applyFill="1" applyBorder="1" applyAlignment="1">
      <alignment horizontal="center" vertical="center" wrapText="1" readingOrder="1"/>
    </xf>
    <xf numFmtId="0" fontId="15" fillId="13" borderId="22" xfId="0" applyFont="1" applyFill="1" applyBorder="1" applyAlignment="1">
      <alignment horizontal="center" vertical="center" wrapText="1" readingOrder="1"/>
    </xf>
    <xf numFmtId="0" fontId="15" fillId="13" borderId="0" xfId="0" applyFont="1" applyFill="1" applyBorder="1" applyAlignment="1">
      <alignment horizontal="center" vertical="center" wrapText="1" readingOrder="1"/>
    </xf>
    <xf numFmtId="0" fontId="15" fillId="13" borderId="23" xfId="0" applyFont="1" applyFill="1" applyBorder="1" applyAlignment="1">
      <alignment horizontal="center" vertical="center" wrapText="1" readingOrder="1"/>
    </xf>
    <xf numFmtId="0" fontId="15" fillId="13" borderId="24" xfId="0" applyFont="1" applyFill="1" applyBorder="1" applyAlignment="1">
      <alignment horizontal="center" vertical="center" wrapText="1" readingOrder="1"/>
    </xf>
    <xf numFmtId="0" fontId="15" fillId="13" borderId="25" xfId="0" applyFont="1" applyFill="1" applyBorder="1" applyAlignment="1">
      <alignment horizontal="center" vertical="center" wrapText="1" readingOrder="1"/>
    </xf>
    <xf numFmtId="0" fontId="15" fillId="13" borderId="26" xfId="0" applyFont="1" applyFill="1" applyBorder="1" applyAlignment="1">
      <alignment horizontal="center" vertical="center" wrapText="1" readingOrder="1"/>
    </xf>
    <xf numFmtId="0" fontId="15" fillId="5" borderId="19" xfId="0" applyFont="1" applyFill="1" applyBorder="1" applyAlignment="1">
      <alignment horizontal="center" vertical="center" wrapText="1" readingOrder="1"/>
    </xf>
    <xf numFmtId="0" fontId="15" fillId="5" borderId="20" xfId="0" applyFont="1" applyFill="1" applyBorder="1" applyAlignment="1">
      <alignment horizontal="center" vertical="center" wrapText="1" readingOrder="1"/>
    </xf>
    <xf numFmtId="0" fontId="15" fillId="5" borderId="21" xfId="0" applyFont="1" applyFill="1" applyBorder="1" applyAlignment="1">
      <alignment horizontal="center" vertical="center" wrapText="1" readingOrder="1"/>
    </xf>
    <xf numFmtId="0" fontId="15" fillId="5" borderId="22" xfId="0" applyFont="1" applyFill="1" applyBorder="1" applyAlignment="1">
      <alignment horizontal="center" vertical="center" wrapText="1" readingOrder="1"/>
    </xf>
    <xf numFmtId="0" fontId="15" fillId="5" borderId="0" xfId="0" applyFont="1" applyFill="1" applyBorder="1" applyAlignment="1">
      <alignment horizontal="center" vertical="center" wrapText="1" readingOrder="1"/>
    </xf>
    <xf numFmtId="0" fontId="15" fillId="5" borderId="23" xfId="0" applyFont="1" applyFill="1" applyBorder="1" applyAlignment="1">
      <alignment horizontal="center" vertical="center" wrapText="1" readingOrder="1"/>
    </xf>
    <xf numFmtId="0" fontId="15" fillId="5" borderId="24" xfId="0" applyFont="1" applyFill="1" applyBorder="1" applyAlignment="1">
      <alignment horizontal="center" vertical="center" wrapText="1" readingOrder="1"/>
    </xf>
    <xf numFmtId="0" fontId="15" fillId="5" borderId="25" xfId="0" applyFont="1" applyFill="1" applyBorder="1" applyAlignment="1">
      <alignment horizontal="center" vertical="center" wrapText="1" readingOrder="1"/>
    </xf>
    <xf numFmtId="0" fontId="15" fillId="5" borderId="26" xfId="0" applyFont="1" applyFill="1" applyBorder="1" applyAlignment="1">
      <alignment horizontal="center" vertical="center" wrapText="1" readingOrder="1"/>
    </xf>
    <xf numFmtId="0" fontId="11" fillId="0" borderId="11" xfId="0" applyFont="1" applyBorder="1" applyAlignment="1">
      <alignment horizontal="center" vertical="center" wrapText="1"/>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4" fillId="11" borderId="0" xfId="0" applyFont="1" applyFill="1" applyAlignment="1" applyProtection="1">
      <alignment horizontal="center" vertical="center" wrapText="1" readingOrder="1"/>
      <protection hidden="1"/>
    </xf>
    <xf numFmtId="0" fontId="14" fillId="11" borderId="14" xfId="0" applyFont="1" applyFill="1" applyBorder="1" applyAlignment="1" applyProtection="1">
      <alignment horizontal="center" vertical="center" wrapText="1" readingOrder="1"/>
      <protection hidden="1"/>
    </xf>
    <xf numFmtId="0" fontId="14" fillId="11" borderId="0" xfId="0" applyFont="1" applyFill="1" applyBorder="1" applyAlignment="1" applyProtection="1">
      <alignment horizontal="center" vertical="center" wrapText="1" readingOrder="1"/>
      <protection hidden="1"/>
    </xf>
    <xf numFmtId="0" fontId="14" fillId="11" borderId="11" xfId="0" applyFont="1" applyFill="1" applyBorder="1" applyAlignment="1" applyProtection="1">
      <alignment horizontal="center" vertical="center" wrapText="1" readingOrder="1"/>
      <protection hidden="1"/>
    </xf>
    <xf numFmtId="0" fontId="14" fillId="11" borderId="18" xfId="0" applyFont="1" applyFill="1" applyBorder="1" applyAlignment="1" applyProtection="1">
      <alignment horizontal="center" vertical="center" wrapText="1" readingOrder="1"/>
      <protection hidden="1"/>
    </xf>
    <xf numFmtId="0" fontId="14" fillId="11" borderId="13" xfId="0" applyFont="1" applyFill="1" applyBorder="1" applyAlignment="1" applyProtection="1">
      <alignment horizontal="center" vertical="center" wrapText="1" readingOrder="1"/>
      <protection hidden="1"/>
    </xf>
    <xf numFmtId="0" fontId="14" fillId="11" borderId="12" xfId="0" applyFont="1" applyFill="1" applyBorder="1" applyAlignment="1" applyProtection="1">
      <alignment horizontal="center" vertical="center" wrapText="1" readingOrder="1"/>
      <protection hidden="1"/>
    </xf>
    <xf numFmtId="0" fontId="12" fillId="10" borderId="0" xfId="0" applyFont="1" applyFill="1" applyAlignment="1">
      <alignment horizontal="center" vertical="center" wrapText="1" readingOrder="1"/>
    </xf>
    <xf numFmtId="0" fontId="11" fillId="0" borderId="0" xfId="0" applyFont="1" applyBorder="1" applyAlignment="1">
      <alignment horizontal="center" vertical="center"/>
    </xf>
    <xf numFmtId="0" fontId="11" fillId="0" borderId="18" xfId="0" applyFont="1" applyBorder="1" applyAlignment="1">
      <alignment horizontal="center" vertical="center" wrapText="1"/>
    </xf>
    <xf numFmtId="0" fontId="14" fillId="11" borderId="15" xfId="0" applyFont="1" applyFill="1" applyBorder="1" applyAlignment="1" applyProtection="1">
      <alignment horizontal="center" vertical="center" wrapText="1" readingOrder="1"/>
      <protection hidden="1"/>
    </xf>
    <xf numFmtId="0" fontId="14" fillId="11" borderId="17" xfId="0" applyFont="1" applyFill="1" applyBorder="1" applyAlignment="1" applyProtection="1">
      <alignment horizontal="center" vertical="center" wrapText="1" readingOrder="1"/>
      <protection hidden="1"/>
    </xf>
    <xf numFmtId="0" fontId="14" fillId="11" borderId="16" xfId="0" applyFont="1" applyFill="1" applyBorder="1" applyAlignment="1" applyProtection="1">
      <alignment horizontal="center" vertical="center" wrapText="1" readingOrder="1"/>
      <protection hidden="1"/>
    </xf>
    <xf numFmtId="0" fontId="14" fillId="12" borderId="13" xfId="0" applyFont="1" applyFill="1" applyBorder="1" applyAlignment="1" applyProtection="1">
      <alignment horizontal="center" wrapText="1" readingOrder="1"/>
      <protection hidden="1"/>
    </xf>
    <xf numFmtId="0" fontId="14" fillId="12" borderId="0" xfId="0" applyFont="1" applyFill="1" applyBorder="1" applyAlignment="1" applyProtection="1">
      <alignment horizontal="center" wrapText="1" readingOrder="1"/>
      <protection hidden="1"/>
    </xf>
    <xf numFmtId="0" fontId="14" fillId="12" borderId="14" xfId="0" applyFont="1" applyFill="1" applyBorder="1" applyAlignment="1" applyProtection="1">
      <alignment horizontal="center" wrapText="1" readingOrder="1"/>
      <protection hidden="1"/>
    </xf>
    <xf numFmtId="0" fontId="14" fillId="12" borderId="15" xfId="0" applyFont="1" applyFill="1" applyBorder="1" applyAlignment="1" applyProtection="1">
      <alignment horizontal="center" wrapText="1" readingOrder="1"/>
      <protection hidden="1"/>
    </xf>
    <xf numFmtId="0" fontId="14" fillId="12" borderId="17" xfId="0" applyFont="1" applyFill="1" applyBorder="1" applyAlignment="1" applyProtection="1">
      <alignment horizontal="center" wrapText="1" readingOrder="1"/>
      <protection hidden="1"/>
    </xf>
    <xf numFmtId="0" fontId="14" fillId="12" borderId="16" xfId="0" applyFont="1" applyFill="1" applyBorder="1" applyAlignment="1" applyProtection="1">
      <alignment horizontal="center" wrapText="1" readingOrder="1"/>
      <protection hidden="1"/>
    </xf>
    <xf numFmtId="0" fontId="14" fillId="12" borderId="11" xfId="0" applyFont="1" applyFill="1" applyBorder="1" applyAlignment="1" applyProtection="1">
      <alignment horizontal="center" wrapText="1" readingOrder="1"/>
      <protection hidden="1"/>
    </xf>
    <xf numFmtId="0" fontId="14" fillId="12" borderId="18" xfId="0" applyFont="1" applyFill="1" applyBorder="1" applyAlignment="1" applyProtection="1">
      <alignment horizontal="center" wrapText="1" readingOrder="1"/>
      <protection hidden="1"/>
    </xf>
    <xf numFmtId="0" fontId="14" fillId="12" borderId="12" xfId="0" applyFont="1" applyFill="1" applyBorder="1" applyAlignment="1" applyProtection="1">
      <alignment horizontal="center" wrapText="1" readingOrder="1"/>
      <protection hidden="1"/>
    </xf>
    <xf numFmtId="0" fontId="14" fillId="13" borderId="13" xfId="0" applyFont="1" applyFill="1" applyBorder="1" applyAlignment="1" applyProtection="1">
      <alignment horizontal="center" wrapText="1" readingOrder="1"/>
      <protection hidden="1"/>
    </xf>
    <xf numFmtId="0" fontId="14" fillId="13" borderId="0" xfId="0" applyFont="1" applyFill="1" applyBorder="1" applyAlignment="1" applyProtection="1">
      <alignment horizontal="center" wrapText="1" readingOrder="1"/>
      <protection hidden="1"/>
    </xf>
    <xf numFmtId="0" fontId="14" fillId="13" borderId="14" xfId="0" applyFont="1" applyFill="1" applyBorder="1" applyAlignment="1" applyProtection="1">
      <alignment horizontal="center" wrapText="1" readingOrder="1"/>
      <protection hidden="1"/>
    </xf>
    <xf numFmtId="0" fontId="14" fillId="13" borderId="15" xfId="0" applyFont="1" applyFill="1" applyBorder="1" applyAlignment="1" applyProtection="1">
      <alignment horizontal="center" wrapText="1" readingOrder="1"/>
      <protection hidden="1"/>
    </xf>
    <xf numFmtId="0" fontId="14" fillId="13" borderId="17" xfId="0" applyFont="1" applyFill="1" applyBorder="1" applyAlignment="1" applyProtection="1">
      <alignment horizontal="center" wrapText="1" readingOrder="1"/>
      <protection hidden="1"/>
    </xf>
    <xf numFmtId="0" fontId="14" fillId="13" borderId="16" xfId="0" applyFont="1" applyFill="1" applyBorder="1" applyAlignment="1" applyProtection="1">
      <alignment horizontal="center" wrapText="1" readingOrder="1"/>
      <protection hidden="1"/>
    </xf>
    <xf numFmtId="0" fontId="14" fillId="13" borderId="11" xfId="0" applyFont="1" applyFill="1" applyBorder="1" applyAlignment="1" applyProtection="1">
      <alignment horizontal="center" wrapText="1" readingOrder="1"/>
      <protection hidden="1"/>
    </xf>
    <xf numFmtId="0" fontId="14" fillId="13" borderId="18" xfId="0" applyFont="1" applyFill="1" applyBorder="1" applyAlignment="1" applyProtection="1">
      <alignment horizontal="center" wrapText="1" readingOrder="1"/>
      <protection hidden="1"/>
    </xf>
    <xf numFmtId="0" fontId="14" fillId="13" borderId="12" xfId="0" applyFont="1" applyFill="1" applyBorder="1" applyAlignment="1" applyProtection="1">
      <alignment horizontal="center" wrapText="1" readingOrder="1"/>
      <protection hidden="1"/>
    </xf>
    <xf numFmtId="0" fontId="14" fillId="5" borderId="0" xfId="0" applyFont="1" applyFill="1" applyBorder="1" applyAlignment="1" applyProtection="1">
      <alignment horizontal="center" wrapText="1" readingOrder="1"/>
      <protection hidden="1"/>
    </xf>
    <xf numFmtId="0" fontId="14" fillId="5" borderId="14" xfId="0" applyFont="1" applyFill="1" applyBorder="1" applyAlignment="1" applyProtection="1">
      <alignment horizontal="center" wrapText="1" readingOrder="1"/>
      <protection hidden="1"/>
    </xf>
    <xf numFmtId="0" fontId="14" fillId="5" borderId="13" xfId="0" applyFont="1" applyFill="1" applyBorder="1" applyAlignment="1" applyProtection="1">
      <alignment horizontal="center" wrapText="1" readingOrder="1"/>
      <protection hidden="1"/>
    </xf>
    <xf numFmtId="0" fontId="14" fillId="5" borderId="15" xfId="0" applyFont="1" applyFill="1" applyBorder="1" applyAlignment="1" applyProtection="1">
      <alignment horizontal="center" wrapText="1" readingOrder="1"/>
      <protection hidden="1"/>
    </xf>
    <xf numFmtId="0" fontId="14" fillId="5" borderId="17" xfId="0" applyFont="1" applyFill="1" applyBorder="1" applyAlignment="1" applyProtection="1">
      <alignment horizontal="center" wrapText="1" readingOrder="1"/>
      <protection hidden="1"/>
    </xf>
    <xf numFmtId="0" fontId="14" fillId="5" borderId="16" xfId="0" applyFont="1" applyFill="1" applyBorder="1" applyAlignment="1" applyProtection="1">
      <alignment horizontal="center" wrapText="1" readingOrder="1"/>
      <protection hidden="1"/>
    </xf>
    <xf numFmtId="0" fontId="14" fillId="5" borderId="11" xfId="0" applyFont="1" applyFill="1" applyBorder="1" applyAlignment="1" applyProtection="1">
      <alignment horizontal="center" wrapText="1" readingOrder="1"/>
      <protection hidden="1"/>
    </xf>
    <xf numFmtId="0" fontId="14" fillId="5" borderId="18" xfId="0" applyFont="1" applyFill="1" applyBorder="1" applyAlignment="1" applyProtection="1">
      <alignment horizontal="center" wrapText="1" readingOrder="1"/>
      <protection hidden="1"/>
    </xf>
    <xf numFmtId="0" fontId="14" fillId="5" borderId="12" xfId="0" applyFont="1" applyFill="1" applyBorder="1" applyAlignment="1" applyProtection="1">
      <alignment horizontal="center" wrapText="1" readingOrder="1"/>
      <protection hidden="1"/>
    </xf>
    <xf numFmtId="0" fontId="18" fillId="0" borderId="0" xfId="0" applyFont="1" applyAlignment="1">
      <alignment horizontal="center" vertical="center" wrapText="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2" fillId="0" borderId="11" xfId="0" applyFont="1" applyBorder="1" applyAlignment="1">
      <alignment horizontal="center" vertical="center" wrapText="1"/>
    </xf>
    <xf numFmtId="0" fontId="22" fillId="0" borderId="18" xfId="0" applyFont="1" applyBorder="1" applyAlignment="1">
      <alignment horizontal="center" vertical="center"/>
    </xf>
    <xf numFmtId="0" fontId="22" fillId="0" borderId="13" xfId="0" applyFont="1" applyBorder="1" applyAlignment="1">
      <alignment horizontal="center" vertical="center" wrapText="1"/>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0" fillId="0" borderId="0" xfId="0" applyFont="1" applyAlignment="1">
      <alignment horizontal="center" vertical="center" wrapText="1"/>
    </xf>
    <xf numFmtId="0" fontId="16" fillId="0" borderId="0" xfId="0" applyFont="1" applyAlignment="1">
      <alignment horizontal="center" vertical="center" wrapText="1"/>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2" fillId="0" borderId="18" xfId="0" applyFont="1" applyBorder="1" applyAlignment="1">
      <alignment horizontal="center" vertical="center" wrapText="1"/>
    </xf>
  </cellXfs>
  <cellStyles count="6">
    <cellStyle name="Hipervínculo" xfId="5" builtinId="8"/>
    <cellStyle name="Normal" xfId="0" builtinId="0"/>
    <cellStyle name="Normal - Style1 2" xfId="2"/>
    <cellStyle name="Normal 2" xfId="4"/>
    <cellStyle name="Normal 2 2" xfId="3"/>
    <cellStyle name="Porcentaje" xfId="1" builtinId="5"/>
  </cellStyles>
  <dxfs count="1563">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wrapText="0" indent="0" justifyLastLine="0" shrinkToFit="0"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Hoja2!$E$7:$E$8</c:f>
              <c:strCache>
                <c:ptCount val="2"/>
                <c:pt idx="0">
                  <c:v>Corrupción</c:v>
                </c:pt>
                <c:pt idx="1">
                  <c:v>Gestión</c:v>
                </c:pt>
              </c:strCache>
            </c:strRef>
          </c:cat>
          <c:val>
            <c:numRef>
              <c:f>Hoja2!$F$7:$F$8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Hoja2!$H$22:$H$24</c:f>
              <c:strCache>
                <c:ptCount val="3"/>
                <c:pt idx="0">
                  <c:v>Alto</c:v>
                </c:pt>
                <c:pt idx="1">
                  <c:v>Moderado</c:v>
                </c:pt>
                <c:pt idx="2">
                  <c:v>Bajo </c:v>
                </c:pt>
              </c:strCache>
            </c:strRef>
          </c:cat>
          <c:val>
            <c:numRef>
              <c:f>Hoja2!$I$22:$I$24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Hoja2!$H$36:$H$38</c:f>
              <c:strCache>
                <c:ptCount val="3"/>
                <c:pt idx="0">
                  <c:v>Alto</c:v>
                </c:pt>
                <c:pt idx="1">
                  <c:v>Moderado</c:v>
                </c:pt>
                <c:pt idx="2">
                  <c:v>Bajo </c:v>
                </c:pt>
              </c:strCache>
            </c:strRef>
          </c:cat>
          <c:val>
            <c:numRef>
              <c:f>Hoja2!$I$36:$I$38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2</xdr:col>
      <xdr:colOff>655872</xdr:colOff>
      <xdr:row>0</xdr:row>
      <xdr:rowOff>510134</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2656122" cy="41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100541</xdr:rowOff>
    </xdr:from>
    <xdr:to>
      <xdr:col>2</xdr:col>
      <xdr:colOff>666750</xdr:colOff>
      <xdr:row>0</xdr:row>
      <xdr:rowOff>494023</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0541"/>
          <a:ext cx="2524125" cy="393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2638425</xdr:colOff>
      <xdr:row>0</xdr:row>
      <xdr:rowOff>547556</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42875"/>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0</xdr:col>
      <xdr:colOff>2743200</xdr:colOff>
      <xdr:row>0</xdr:row>
      <xdr:rowOff>518981</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180975</xdr:rowOff>
    </xdr:from>
    <xdr:to>
      <xdr:col>0</xdr:col>
      <xdr:colOff>2800350</xdr:colOff>
      <xdr:row>0</xdr:row>
      <xdr:rowOff>585656</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80975"/>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133350</xdr:rowOff>
    </xdr:from>
    <xdr:to>
      <xdr:col>0</xdr:col>
      <xdr:colOff>2647950</xdr:colOff>
      <xdr:row>0</xdr:row>
      <xdr:rowOff>538031</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3335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666750</xdr:colOff>
      <xdr:row>0</xdr:row>
      <xdr:rowOff>499931</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ianabriceno\Downloads\Mapa%20de%20riesgos%20institucional%20V1%2031-01-2022%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LANEACION%2020-21-22\RIESGOS%20ok\RIESGOS%202021\MAPAS%20RIESGOS%20INST%20Y%20CORR%202021\Mapa%20de%20Riesgos%20de%20Corrupci&#243;n%202021%20V3%2002-09-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riaV\Downloads\FORMATO%20DE%20RIESG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LANEACION%2020-21-22\RIESGOS%20ok\RIESGOS%202021\MAPAS%20RIESGOS%20INST%20Y%20CORR%202021\Mapa%20de%20Riesgos%20Institucional%202021%20V3%2002-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scargas\FORMATO%20DE%20RIESGO%20CORRUPCION%20GESTION%20Y%20SEG%20INF%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escargas\FORMATO%20DE%20RIESGO%20%20CORRUPCION%20GESTION%20Y%20SEG%20INF%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escargas\FORMATO%20DE%20RIESGO%20%20CORRUPCION%20GESTION%20Y%20SEG%20INF%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anabriceno\Downloads\Mapa%20de%20riesgos%20institucional%20V1%2031-01-2022%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anabriceno\Downloads\Mapa%20de%20Riesgos%20DCI%20(Noviembre%2012%202021)%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oscarortiz\Downloads\FORMATO%20DE%20RIESGO%20%20CORRUPCION%20GESTION%20Y%20SEG%20INF%20NV%2012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GESTION"/>
      <sheetName val="Hoja2"/>
      <sheetName val="MAPA CORRUPCION"/>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10 SMLMV .</v>
          </cell>
        </row>
        <row r="221">
          <cell r="B221" t="e">
            <v>#NAME?</v>
          </cell>
        </row>
        <row r="222">
          <cell r="B222" t="e">
            <v>#NAME?</v>
          </cell>
        </row>
        <row r="223">
          <cell r="B223" t="e">
            <v>#NAME?</v>
          </cell>
          <cell r="F223" t="str">
            <v>❌</v>
          </cell>
        </row>
      </sheetData>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GESTION"/>
      <sheetName val="Hoja2"/>
      <sheetName val="MAPA CORRUPCION"/>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C208:D220"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24">
    <format dxfId="27">
      <pivotArea type="all" dataOnly="0" outline="0" fieldPosition="0"/>
    </format>
    <format dxfId="26">
      <pivotArea field="0" type="button" dataOnly="0" labelOnly="1" outline="0" axis="axisRow" fieldPosition="0"/>
    </format>
    <format dxfId="25">
      <pivotArea field="1" type="button" dataOnly="0" labelOnly="1" outline="0" axis="axisRow" fieldPosition="1"/>
    </format>
    <format dxfId="24">
      <pivotArea dataOnly="0" labelOnly="1" outline="0" fieldPosition="0">
        <references count="1">
          <reference field="0" count="0"/>
        </references>
      </pivotArea>
    </format>
    <format dxfId="23">
      <pivotArea dataOnly="0" labelOnly="1" outline="0" fieldPosition="0">
        <references count="2">
          <reference field="0" count="1" selected="0">
            <x v="0"/>
          </reference>
          <reference field="1" count="5">
            <x v="0"/>
            <x v="6"/>
            <x v="7"/>
            <x v="8"/>
            <x v="9"/>
          </reference>
        </references>
      </pivotArea>
    </format>
    <format dxfId="22">
      <pivotArea dataOnly="0" labelOnly="1" outline="0" fieldPosition="0">
        <references count="2">
          <reference field="0" count="1" selected="0">
            <x v="1"/>
          </reference>
          <reference field="1" count="5">
            <x v="1"/>
            <x v="2"/>
            <x v="3"/>
            <x v="4"/>
            <x v="5"/>
          </reference>
        </references>
      </pivotArea>
    </format>
    <format dxfId="21">
      <pivotArea type="all" dataOnly="0" outline="0" fieldPosition="0"/>
    </format>
    <format dxfId="20">
      <pivotArea field="0" type="button" dataOnly="0" labelOnly="1" outline="0" axis="axisRow" fieldPosition="0"/>
    </format>
    <format dxfId="19">
      <pivotArea field="1" type="button" dataOnly="0" labelOnly="1" outline="0" axis="axisRow" fieldPosition="1"/>
    </format>
    <format dxfId="18">
      <pivotArea dataOnly="0" labelOnly="1" outline="0" fieldPosition="0">
        <references count="1">
          <reference field="0" count="0"/>
        </references>
      </pivotArea>
    </format>
    <format dxfId="17">
      <pivotArea dataOnly="0" labelOnly="1" outline="0" fieldPosition="0">
        <references count="2">
          <reference field="0" count="1" selected="0">
            <x v="0"/>
          </reference>
          <reference field="1" count="5">
            <x v="0"/>
            <x v="6"/>
            <x v="7"/>
            <x v="8"/>
            <x v="9"/>
          </reference>
        </references>
      </pivotArea>
    </format>
    <format dxfId="16">
      <pivotArea dataOnly="0" labelOnly="1" outline="0" fieldPosition="0">
        <references count="2">
          <reference field="0" count="1" selected="0">
            <x v="1"/>
          </reference>
          <reference field="1" count="5">
            <x v="1"/>
            <x v="2"/>
            <x v="3"/>
            <x v="4"/>
            <x v="5"/>
          </reference>
        </references>
      </pivotArea>
    </format>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208:B218" totalsRowShown="0" headerRowDxfId="3" dataDxfId="2">
  <autoFilter ref="A208:B218"/>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pccolombia.gov.co/" TargetMode="Externa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apccolombia.gov.co/"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apccolomb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44"/>
  <sheetViews>
    <sheetView topLeftCell="A27" zoomScaleNormal="100" workbookViewId="0">
      <selection activeCell="A29" sqref="A29"/>
    </sheetView>
  </sheetViews>
  <sheetFormatPr baseColWidth="10" defaultRowHeight="15.75" x14ac:dyDescent="0.25"/>
  <cols>
    <col min="1" max="1" width="10.7109375" style="213" customWidth="1"/>
    <col min="2" max="2" width="20.7109375" style="217" customWidth="1"/>
    <col min="3" max="3" width="15.7109375" style="217" customWidth="1"/>
    <col min="4" max="5" width="20.7109375" style="217" customWidth="1"/>
    <col min="6" max="6" width="30.7109375" style="224" customWidth="1"/>
    <col min="7" max="7" width="20.7109375" style="217" customWidth="1"/>
    <col min="8" max="9" width="13.7109375" style="217" customWidth="1"/>
    <col min="10" max="10" width="8.7109375" style="217" customWidth="1"/>
    <col min="11" max="12" width="20.7109375" style="217" customWidth="1"/>
    <col min="13" max="13" width="8.5703125" style="217" customWidth="1"/>
    <col min="14" max="14" width="13.7109375" style="217" customWidth="1"/>
    <col min="15" max="15" width="8.7109375" style="217" customWidth="1"/>
    <col min="16" max="16" width="13.7109375" style="217" customWidth="1"/>
    <col min="17" max="17" width="10.7109375" style="217" customWidth="1"/>
    <col min="18" max="18" width="40.7109375" style="224" customWidth="1"/>
    <col min="19" max="19" width="15.7109375" style="217" customWidth="1"/>
    <col min="20" max="25" width="6.7109375" style="217" customWidth="1"/>
    <col min="26" max="26" width="8.7109375" style="217" customWidth="1"/>
    <col min="27" max="32" width="6.7109375" style="217" customWidth="1"/>
    <col min="33" max="33" width="40.7109375" style="217" customWidth="1"/>
    <col min="34" max="34" width="12.7109375" style="217" customWidth="1"/>
    <col min="35" max="35" width="13.7109375" style="217" customWidth="1"/>
    <col min="36" max="37" width="20.7109375" style="217" customWidth="1"/>
    <col min="38" max="38" width="16.7109375" style="217" customWidth="1"/>
    <col min="39" max="39" width="66" style="217" customWidth="1"/>
    <col min="40" max="41" width="11.42578125" style="217"/>
    <col min="42" max="43" width="25.140625" style="217" customWidth="1"/>
    <col min="44" max="16384" width="11.42578125" style="217"/>
  </cols>
  <sheetData>
    <row r="1" spans="1:65" s="213" customFormat="1" ht="50.25" customHeight="1" x14ac:dyDescent="0.25">
      <c r="A1" s="231"/>
      <c r="B1" s="231" t="s">
        <v>258</v>
      </c>
      <c r="C1" s="231" t="s">
        <v>258</v>
      </c>
      <c r="D1" s="231" t="s">
        <v>258</v>
      </c>
      <c r="E1" s="231" t="s">
        <v>258</v>
      </c>
      <c r="F1" s="231" t="s">
        <v>258</v>
      </c>
      <c r="G1" s="231" t="s">
        <v>258</v>
      </c>
      <c r="H1" s="231" t="s">
        <v>258</v>
      </c>
      <c r="I1" s="231" t="s">
        <v>258</v>
      </c>
      <c r="J1" s="231" t="s">
        <v>258</v>
      </c>
      <c r="K1" s="231" t="s">
        <v>258</v>
      </c>
      <c r="L1" s="231" t="s">
        <v>258</v>
      </c>
      <c r="M1" s="231" t="s">
        <v>258</v>
      </c>
      <c r="N1" s="231" t="s">
        <v>258</v>
      </c>
      <c r="O1" s="231" t="s">
        <v>258</v>
      </c>
      <c r="P1" s="231" t="s">
        <v>258</v>
      </c>
      <c r="Q1" s="231" t="s">
        <v>258</v>
      </c>
      <c r="R1" s="231" t="s">
        <v>258</v>
      </c>
      <c r="S1" s="231" t="s">
        <v>258</v>
      </c>
      <c r="T1" s="231" t="s">
        <v>258</v>
      </c>
      <c r="U1" s="231" t="s">
        <v>258</v>
      </c>
      <c r="V1" s="231" t="s">
        <v>258</v>
      </c>
      <c r="W1" s="231" t="s">
        <v>258</v>
      </c>
      <c r="X1" s="231" t="s">
        <v>258</v>
      </c>
      <c r="Y1" s="231" t="s">
        <v>258</v>
      </c>
      <c r="Z1" s="231" t="s">
        <v>258</v>
      </c>
      <c r="AA1" s="231" t="s">
        <v>258</v>
      </c>
      <c r="AB1" s="231" t="s">
        <v>258</v>
      </c>
      <c r="AC1" s="231" t="s">
        <v>258</v>
      </c>
      <c r="AD1" s="231" t="s">
        <v>258</v>
      </c>
      <c r="AE1" s="231" t="s">
        <v>258</v>
      </c>
      <c r="AF1" s="231" t="s">
        <v>258</v>
      </c>
      <c r="AG1" s="231" t="s">
        <v>258</v>
      </c>
      <c r="AH1" s="231" t="s">
        <v>258</v>
      </c>
      <c r="AI1" s="231" t="s">
        <v>258</v>
      </c>
      <c r="AJ1" s="231" t="s">
        <v>258</v>
      </c>
      <c r="AK1" s="231" t="s">
        <v>258</v>
      </c>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row>
    <row r="2" spans="1:65" s="213" customFormat="1" ht="15.75" customHeight="1" x14ac:dyDescent="0.25">
      <c r="A2" s="231" t="s">
        <v>123</v>
      </c>
      <c r="B2" s="231" t="s">
        <v>123</v>
      </c>
      <c r="C2" s="231" t="s">
        <v>123</v>
      </c>
      <c r="D2" s="231" t="s">
        <v>123</v>
      </c>
      <c r="E2" s="231" t="s">
        <v>123</v>
      </c>
      <c r="F2" s="231" t="s">
        <v>123</v>
      </c>
      <c r="G2" s="231" t="s">
        <v>123</v>
      </c>
      <c r="H2" s="231" t="s">
        <v>123</v>
      </c>
      <c r="I2" s="231" t="s">
        <v>124</v>
      </c>
      <c r="J2" s="231" t="s">
        <v>124</v>
      </c>
      <c r="K2" s="231" t="s">
        <v>124</v>
      </c>
      <c r="L2" s="231" t="s">
        <v>124</v>
      </c>
      <c r="M2" s="231" t="s">
        <v>124</v>
      </c>
      <c r="N2" s="231" t="s">
        <v>124</v>
      </c>
      <c r="O2" s="231" t="s">
        <v>124</v>
      </c>
      <c r="P2" s="231" t="s">
        <v>124</v>
      </c>
      <c r="Q2" s="231" t="s">
        <v>124</v>
      </c>
      <c r="R2" s="231" t="s">
        <v>125</v>
      </c>
      <c r="S2" s="231" t="s">
        <v>125</v>
      </c>
      <c r="T2" s="231" t="s">
        <v>125</v>
      </c>
      <c r="U2" s="231" t="s">
        <v>125</v>
      </c>
      <c r="V2" s="231" t="s">
        <v>125</v>
      </c>
      <c r="W2" s="231" t="s">
        <v>125</v>
      </c>
      <c r="X2" s="231" t="s">
        <v>125</v>
      </c>
      <c r="Y2" s="231" t="s">
        <v>125</v>
      </c>
      <c r="Z2" s="231" t="s">
        <v>126</v>
      </c>
      <c r="AA2" s="231" t="s">
        <v>126</v>
      </c>
      <c r="AB2" s="231" t="s">
        <v>126</v>
      </c>
      <c r="AC2" s="231" t="s">
        <v>126</v>
      </c>
      <c r="AD2" s="231" t="s">
        <v>126</v>
      </c>
      <c r="AE2" s="231" t="s">
        <v>126</v>
      </c>
      <c r="AF2" s="231" t="s">
        <v>126</v>
      </c>
      <c r="AG2" s="231" t="s">
        <v>33</v>
      </c>
      <c r="AH2" s="231" t="s">
        <v>354</v>
      </c>
      <c r="AI2" s="231" t="s">
        <v>354</v>
      </c>
      <c r="AJ2" s="231" t="s">
        <v>36</v>
      </c>
      <c r="AK2" s="231" t="s">
        <v>38</v>
      </c>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row>
    <row r="3" spans="1:65" s="213" customFormat="1" ht="31.5" customHeight="1" x14ac:dyDescent="0.25">
      <c r="A3" s="128" t="s">
        <v>353</v>
      </c>
      <c r="B3" s="144" t="s">
        <v>166</v>
      </c>
      <c r="C3" s="126" t="s">
        <v>2</v>
      </c>
      <c r="D3" s="231" t="s">
        <v>364</v>
      </c>
      <c r="E3" s="231" t="s">
        <v>365</v>
      </c>
      <c r="F3" s="126" t="s">
        <v>369</v>
      </c>
      <c r="G3" s="231" t="s">
        <v>360</v>
      </c>
      <c r="H3" s="231" t="s">
        <v>358</v>
      </c>
      <c r="I3" s="231" t="s">
        <v>32</v>
      </c>
      <c r="J3" s="126" t="s">
        <v>5</v>
      </c>
      <c r="K3" s="144" t="s">
        <v>356</v>
      </c>
      <c r="L3" s="209" t="s">
        <v>371</v>
      </c>
      <c r="M3" s="209" t="s">
        <v>371</v>
      </c>
      <c r="N3" s="231" t="s">
        <v>42</v>
      </c>
      <c r="O3" s="126" t="s">
        <v>5</v>
      </c>
      <c r="P3" s="231" t="s">
        <v>45</v>
      </c>
      <c r="Q3" s="231" t="s">
        <v>404</v>
      </c>
      <c r="R3" s="231" t="s">
        <v>143</v>
      </c>
      <c r="S3" s="231" t="s">
        <v>11</v>
      </c>
      <c r="T3" s="231" t="s">
        <v>7</v>
      </c>
      <c r="U3" s="231" t="s">
        <v>7</v>
      </c>
      <c r="V3" s="231" t="s">
        <v>7</v>
      </c>
      <c r="W3" s="231" t="s">
        <v>7</v>
      </c>
      <c r="X3" s="231" t="s">
        <v>7</v>
      </c>
      <c r="Y3" s="231" t="s">
        <v>7</v>
      </c>
      <c r="Z3" s="239" t="s">
        <v>122</v>
      </c>
      <c r="AA3" s="239" t="s">
        <v>374</v>
      </c>
      <c r="AB3" s="239" t="s">
        <v>5</v>
      </c>
      <c r="AC3" s="239" t="s">
        <v>44</v>
      </c>
      <c r="AD3" s="239" t="s">
        <v>5</v>
      </c>
      <c r="AE3" s="239" t="s">
        <v>46</v>
      </c>
      <c r="AF3" s="239" t="s">
        <v>28</v>
      </c>
      <c r="AG3" s="240" t="s">
        <v>370</v>
      </c>
      <c r="AH3" s="231" t="s">
        <v>16</v>
      </c>
      <c r="AI3" s="231" t="s">
        <v>36</v>
      </c>
      <c r="AJ3" s="231" t="s">
        <v>36</v>
      </c>
      <c r="AK3" s="231" t="s">
        <v>38</v>
      </c>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row>
    <row r="4" spans="1:65" s="214" customFormat="1" ht="99.95" customHeight="1" x14ac:dyDescent="0.25">
      <c r="A4" s="128" t="s">
        <v>405</v>
      </c>
      <c r="B4" s="144" t="s">
        <v>166</v>
      </c>
      <c r="C4" s="231" t="s">
        <v>362</v>
      </c>
      <c r="D4" s="231" t="s">
        <v>367</v>
      </c>
      <c r="E4" s="231" t="s">
        <v>366</v>
      </c>
      <c r="F4" s="231" t="s">
        <v>368</v>
      </c>
      <c r="G4" s="231" t="s">
        <v>361</v>
      </c>
      <c r="H4" s="231" t="s">
        <v>359</v>
      </c>
      <c r="I4" s="231" t="s">
        <v>9</v>
      </c>
      <c r="J4" s="126" t="s">
        <v>5</v>
      </c>
      <c r="K4" s="128" t="s">
        <v>4</v>
      </c>
      <c r="L4" s="209" t="s">
        <v>372</v>
      </c>
      <c r="M4" s="209" t="s">
        <v>372</v>
      </c>
      <c r="N4" s="231" t="s">
        <v>9</v>
      </c>
      <c r="O4" s="126"/>
      <c r="P4" s="231" t="s">
        <v>9</v>
      </c>
      <c r="Q4" s="231" t="s">
        <v>405</v>
      </c>
      <c r="R4" s="231" t="s">
        <v>355</v>
      </c>
      <c r="S4" s="231" t="s">
        <v>9</v>
      </c>
      <c r="T4" s="230" t="s">
        <v>12</v>
      </c>
      <c r="U4" s="230" t="s">
        <v>16</v>
      </c>
      <c r="V4" s="230" t="s">
        <v>373</v>
      </c>
      <c r="W4" s="230" t="s">
        <v>17</v>
      </c>
      <c r="X4" s="230" t="s">
        <v>20</v>
      </c>
      <c r="Y4" s="230" t="s">
        <v>23</v>
      </c>
      <c r="Z4" s="239"/>
      <c r="AA4" s="239"/>
      <c r="AB4" s="239"/>
      <c r="AC4" s="239"/>
      <c r="AD4" s="239"/>
      <c r="AE4" s="239"/>
      <c r="AF4" s="239"/>
      <c r="AG4" s="240"/>
      <c r="AH4" s="231" t="s">
        <v>357</v>
      </c>
      <c r="AI4" s="231" t="s">
        <v>357</v>
      </c>
      <c r="AJ4" s="231" t="s">
        <v>36</v>
      </c>
      <c r="AK4" s="231" t="s">
        <v>38</v>
      </c>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row>
    <row r="5" spans="1:65" ht="99.95" customHeight="1" x14ac:dyDescent="0.25">
      <c r="A5" s="235">
        <v>1</v>
      </c>
      <c r="B5" s="148" t="s">
        <v>280</v>
      </c>
      <c r="C5" s="119" t="s">
        <v>116</v>
      </c>
      <c r="D5" s="119" t="s">
        <v>260</v>
      </c>
      <c r="E5" s="119" t="s">
        <v>261</v>
      </c>
      <c r="F5" s="162" t="s">
        <v>259</v>
      </c>
      <c r="G5" s="119" t="s">
        <v>108</v>
      </c>
      <c r="H5" s="119">
        <v>54</v>
      </c>
      <c r="I5" s="120" t="str">
        <f>IF(H5&lt;=0,"",IF(H5&lt;=2,"Muy Baja",IF(H5&lt;=24,"Baja",IF(H5&lt;=500,"Media",IF(H5&lt;=5000,"Alta","Muy Alta")))))</f>
        <v>Media</v>
      </c>
      <c r="J5" s="121">
        <f>IF(I5="","",IF(I5="Muy Baja",0.2,IF(I5="Baja",0.4,IF(I5="Media",0.6,IF(I5="Alta",0.8,IF(I5="Muy Alta",1,))))))</f>
        <v>0.6</v>
      </c>
      <c r="K5" s="121" t="s">
        <v>89</v>
      </c>
      <c r="L5" s="141" t="s">
        <v>136</v>
      </c>
      <c r="M5" s="121" t="str">
        <f ca="1">IF(NOT(ISERROR(MATCH(L5,'Tabla Impacto.'!$A$220:$A$222,0))),'Tabla Impacto.'!$E$222&amp;"Por favor no seleccionar los criterios de impacto(Afectación Económica o presupuestal y Pérdida Reputacional)",L5)</f>
        <v xml:space="preserve">     El riesgo afecta la imagen de la entidad internamente, de conocimiento general, nivel interno, de junta dircetiva y accionistas y/o de provedores</v>
      </c>
      <c r="N5" s="228" t="str">
        <f ca="1">IF(OR(M5='[2]Tabla Impacto'!$C$11,M5='[2]Tabla Impacto'!$D$11),"Leve",IF(OR(M5='[2]Tabla Impacto'!$C$12,M5='[2]Tabla Impacto'!$D$12),"Menor",IF(OR(M5='[2]Tabla Impacto'!$C$13,M5='[2]Tabla Impacto'!$D$13),"Moderado",IF(OR(M5='[2]Tabla Impacto'!$C$14,M5='[2]Tabla Impacto'!$D$14),"Mayor",IF(OR(M5='[2]Tabla Impacto'!$C$15,M5='[2]Tabla Impacto'!$D$15),"Catastrófico","")))))</f>
        <v>Menor</v>
      </c>
      <c r="O5" s="219">
        <f t="shared" ref="O5" ca="1" si="0">IF(N5="","",IF(N5="Leve",0.2,IF(N5="Menor",0.4,IF(N5="Moderado",0.6,IF(N5="Mayor",0.8,IF(N5="Catastrófico",1,))))))</f>
        <v>0.4</v>
      </c>
      <c r="P5" s="218" t="str">
        <f t="shared" ref="P5" ca="1" si="1">IF(OR(AND(I5="Muy Baja",N5="Leve"),AND(I5="Muy Baja",N5="Menor"),AND(I5="Baja",N5="Leve")),"Bajo",IF(OR(AND(I5="Muy baja",N5="Moderado"),AND(I5="Baja",N5="Menor"),AND(I5="Baja",N5="Moderado"),AND(I5="Media",N5="Leve"),AND(I5="Media",N5="Menor"),AND(I5="Media",N5="Moderado"),AND(I5="Alta",N5="Leve"),AND(I5="Alta",N5="Menor")),"Moderado",IF(OR(AND(I5="Muy Baja",N5="Mayor"),AND(I5="Baja",N5="Mayor"),AND(I5="Media",N5="Mayor"),AND(I5="Alta",N5="Moderado"),AND(I5="Alta",N5="Mayor"),AND(I5="Muy Alta",N5="Leve"),AND(I5="Muy Alta",N5="Menor"),AND(I5="Muy Alta",N5="Moderado"),AND(I5="Muy Alta",N5="Mayor")),"Alto",IF(OR(AND(I5="Muy Baja",N5="Catastrófico"),AND(I5="Baja",N5="Catastrófico"),AND(I5="Media",N5="Catastrófico"),AND(I5="Alta",N5="Catastrófico"),AND(I5="Muy Alta",N5="Catastrófico")),"Extremo",""))))</f>
        <v>Moderado</v>
      </c>
      <c r="Q5" s="110">
        <v>1</v>
      </c>
      <c r="R5" s="119" t="s">
        <v>406</v>
      </c>
      <c r="S5" s="98" t="str">
        <f t="shared" ref="S5:S6" si="2">IF(OR(T5="Preventivo",T5="Detectivo"),"Probabilidad",IF(T5="Correctivo","Impacto",""))</f>
        <v>Probabilidad</v>
      </c>
      <c r="T5" s="215" t="s">
        <v>13</v>
      </c>
      <c r="U5" s="215" t="s">
        <v>8</v>
      </c>
      <c r="V5" s="121" t="str">
        <f t="shared" ref="V5" si="3">IF(AND(T5="Preventivo",U5="Automático"),"50%",IF(AND(T5="Preventivo",U5="Manual"),"40%",IF(AND(T5="Detectivo",U5="Automático"),"40%",IF(AND(T5="Detectivo",U5="Manual"),"30%",IF(AND(T5="Correctivo",U5="Automático"),"35%",IF(AND(T5="Correctivo",U5="Manual"),"25%",""))))))</f>
        <v>40%</v>
      </c>
      <c r="W5" s="215" t="s">
        <v>19</v>
      </c>
      <c r="X5" s="215" t="s">
        <v>21</v>
      </c>
      <c r="Y5" s="215" t="s">
        <v>104</v>
      </c>
      <c r="Z5" s="99">
        <f>IFERROR(IF(S5="Probabilidad",(J5-(+J5*V5)),IF(S5="Impacto",J5,"")),"")</f>
        <v>0.36</v>
      </c>
      <c r="AA5" s="100" t="str">
        <f>IFERROR(IF(Z5="","",IF(Z5&lt;=0.2,"Muy Baja",IF(Z5&lt;=0.4,"Baja",IF(Z5&lt;=0.6,"Media",IF(Z5&lt;=0.8,"Alta","Muy Alta"))))),"")</f>
        <v>Baja</v>
      </c>
      <c r="AB5" s="121">
        <f t="shared" ref="AB5:AB20" si="4">+Z5</f>
        <v>0.36</v>
      </c>
      <c r="AC5" s="100" t="str">
        <f ca="1">IFERROR(IF(AD5="","",IF(AD5&lt;=0.2,"Leve",IF(AD5&lt;=0.4,"Menor",IF(AD5&lt;=0.6,"Moderado",IF(AD5&lt;=0.8,"Mayor","Catastrófico"))))),"")</f>
        <v>Menor</v>
      </c>
      <c r="AD5" s="121">
        <f ca="1">IFERROR(IF(S5="Impacto",(O5-(+O5*V5)),IF(S5="Probabilidad",O5,"")),"")</f>
        <v>0.4</v>
      </c>
      <c r="AE5" s="101" t="str">
        <f t="shared" ref="AE5:AE38" ca="1" si="5">IFERROR(IF(OR(AND(AA5="Muy Baja",AC5="Leve"),AND(AA5="Muy Baja",AC5="Menor"),AND(AA5="Baja",AC5="Leve")),"Bajo",IF(OR(AND(AA5="Muy baja",AC5="Moderado"),AND(AA5="Baja",AC5="Menor"),AND(AA5="Baja",AC5="Moderado"),AND(AA5="Media",AC5="Leve"),AND(AA5="Media",AC5="Menor"),AND(AA5="Media",AC5="Moderado"),AND(AA5="Alta",AC5="Leve"),AND(AA5="Alta",AC5="Menor")),"Moderado",IF(OR(AND(AA5="Muy Baja",AC5="Mayor"),AND(AA5="Baja",AC5="Mayor"),AND(AA5="Media",AC5="Mayor"),AND(AA5="Alta",AC5="Moderado"),AND(AA5="Alta",AC5="Mayor"),AND(AA5="Muy Alta",AC5="Leve"),AND(AA5="Muy Alta",AC5="Menor"),AND(AA5="Muy Alta",AC5="Moderado"),AND(AA5="Muy Alta",AC5="Mayor")),"Alto",IF(OR(AND(AA5="Muy Baja",AC5="Catastrófico"),AND(AA5="Baja",AC5="Catastrófico"),AND(AA5="Media",AC5="Catastrófico"),AND(AA5="Alta",AC5="Catastrófico"),AND(AA5="Muy Alta",AC5="Catastrófico")),"Extremo","")))),"")</f>
        <v>Moderado</v>
      </c>
      <c r="AF5" s="215" t="s">
        <v>120</v>
      </c>
      <c r="AG5" s="225" t="s">
        <v>407</v>
      </c>
      <c r="AH5" s="142">
        <v>44593</v>
      </c>
      <c r="AI5" s="142">
        <v>44926</v>
      </c>
      <c r="AJ5" s="119" t="s">
        <v>40</v>
      </c>
      <c r="AK5" s="119" t="s">
        <v>40</v>
      </c>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row>
    <row r="6" spans="1:65" ht="99.95" customHeight="1" x14ac:dyDescent="0.25">
      <c r="A6" s="235">
        <v>1</v>
      </c>
      <c r="B6" s="148" t="s">
        <v>280</v>
      </c>
      <c r="C6" s="119" t="s">
        <v>116</v>
      </c>
      <c r="D6" s="119" t="s">
        <v>260</v>
      </c>
      <c r="E6" s="119" t="s">
        <v>261</v>
      </c>
      <c r="F6" s="162" t="s">
        <v>259</v>
      </c>
      <c r="G6" s="119" t="s">
        <v>108</v>
      </c>
      <c r="H6" s="119">
        <v>54</v>
      </c>
      <c r="I6" s="120" t="str">
        <f>IF(H6&lt;=0,"",IF(H6&lt;=2,"Muy Baja",IF(H6&lt;=24,"Baja",IF(H6&lt;=500,"Media",IF(H6&lt;=5000,"Alta","Muy Alta")))))</f>
        <v>Media</v>
      </c>
      <c r="J6" s="121">
        <f>IF(I6="","",IF(I6="Muy Baja",0.2,IF(I6="Baja",0.4,IF(I6="Media",0.6,IF(I6="Alta",0.8,IF(I6="Muy Alta",1,))))))</f>
        <v>0.6</v>
      </c>
      <c r="K6" s="121" t="s">
        <v>89</v>
      </c>
      <c r="L6" s="141" t="s">
        <v>136</v>
      </c>
      <c r="M6" s="121" t="str">
        <f ca="1">IF(NOT(ISERROR(MATCH(L6,'Tabla Impacto.'!$A$220:$A$222,0))),'Tabla Impacto.'!$E$222&amp;"Por favor no seleccionar los criterios de impacto(Afectación Económica o presupuestal y Pérdida Reputacional)",L6)</f>
        <v xml:space="preserve">     El riesgo afecta la imagen de la entidad internamente, de conocimiento general, nivel interno, de junta dircetiva y accionistas y/o de provedores</v>
      </c>
      <c r="N6" s="228"/>
      <c r="O6" s="219"/>
      <c r="P6" s="218" t="str">
        <f t="shared" ref="P6" si="6">IF(OR(AND(I6="Muy Baja",N6="Leve"),AND(I6="Muy Baja",N6="Menor"),AND(I6="Baja",N6="Leve")),"Bajo",IF(OR(AND(I6="Muy baja",N6="Moderado"),AND(I6="Baja",N6="Menor"),AND(I6="Baja",N6="Moderado"),AND(I6="Media",N6="Leve"),AND(I6="Media",N6="Menor"),AND(I6="Media",N6="Moderado"),AND(I6="Alta",N6="Leve"),AND(I6="Alta",N6="Menor")),"Moderado",IF(OR(AND(I6="Muy Baja",N6="Mayor"),AND(I6="Baja",N6="Mayor"),AND(I6="Media",N6="Mayor"),AND(I6="Alta",N6="Moderado"),AND(I6="Alta",N6="Mayor"),AND(I6="Muy Alta",N6="Leve"),AND(I6="Muy Alta",N6="Menor"),AND(I6="Muy Alta",N6="Moderado"),AND(I6="Muy Alta",N6="Mayor")),"Alto",IF(OR(AND(I6="Muy Baja",N6="Catastrófico"),AND(I6="Baja",N6="Catastrófico"),AND(I6="Media",N6="Catastrófico"),AND(I6="Alta",N6="Catastrófico"),AND(I6="Muy Alta",N6="Catastrófico")),"Extremo",""))))</f>
        <v/>
      </c>
      <c r="Q6" s="154">
        <v>2</v>
      </c>
      <c r="R6" s="119" t="s">
        <v>408</v>
      </c>
      <c r="S6" s="98" t="str">
        <f t="shared" si="2"/>
        <v>Probabilidad</v>
      </c>
      <c r="T6" s="215" t="s">
        <v>13</v>
      </c>
      <c r="U6" s="215" t="s">
        <v>8</v>
      </c>
      <c r="V6" s="121" t="str">
        <f t="shared" ref="V6:V7" si="7">IF(AND(T6="Preventivo",U6="Automático"),"50%",IF(AND(T6="Preventivo",U6="Manual"),"40%",IF(AND(T6="Detectivo",U6="Automático"),"40%",IF(AND(T6="Detectivo",U6="Manual"),"30%",IF(AND(T6="Correctivo",U6="Automático"),"35%",IF(AND(T6="Correctivo",U6="Manual"),"25%",""))))))</f>
        <v>40%</v>
      </c>
      <c r="W6" s="215" t="s">
        <v>19</v>
      </c>
      <c r="X6" s="215" t="s">
        <v>21</v>
      </c>
      <c r="Y6" s="215" t="s">
        <v>104</v>
      </c>
      <c r="Z6" s="99">
        <f>IFERROR(IF(AND(S5="Probabilidad",S6="Probabilidad"),(AB5-(+AB5*V6)),IF(S6="Probabilidad",(J5-(+J5*V6)),IF(S6="Impacto",AB5,""))),"")</f>
        <v>0.216</v>
      </c>
      <c r="AA6" s="100" t="str">
        <f t="shared" ref="AA6:AA18" si="8">IFERROR(IF(Z6="","",IF(Z6&lt;=0.2,"Muy Baja",IF(Z6&lt;=0.4,"Baja",IF(Z6&lt;=0.6,"Media",IF(Z6&lt;=0.8,"Alta","Muy Alta"))))),"")</f>
        <v>Baja</v>
      </c>
      <c r="AB6" s="121">
        <f t="shared" si="4"/>
        <v>0.216</v>
      </c>
      <c r="AC6" s="100" t="str">
        <f t="shared" ref="AC6:AC18" ca="1" si="9">IFERROR(IF(AD6="","",IF(AD6&lt;=0.2,"Leve",IF(AD6&lt;=0.4,"Menor",IF(AD6&lt;=0.6,"Moderado",IF(AD6&lt;=0.8,"Mayor","Catastrófico"))))),"")</f>
        <v>Menor</v>
      </c>
      <c r="AD6" s="121">
        <f ca="1">IFERROR(IF(AND(S5="Impacto",S6="Impacto"),(AD5-(+AD5*V6)),IF(S6="Impacto",($O$5-(+$O$5*V6)),IF(S6="Probabilidad",AD5,""))),"")</f>
        <v>0.4</v>
      </c>
      <c r="AE6" s="101" t="str">
        <f t="shared" ca="1" si="5"/>
        <v>Moderado</v>
      </c>
      <c r="AF6" s="215" t="s">
        <v>120</v>
      </c>
      <c r="AG6" s="225" t="s">
        <v>407</v>
      </c>
      <c r="AH6" s="142">
        <v>44593</v>
      </c>
      <c r="AI6" s="142">
        <v>44926</v>
      </c>
      <c r="AJ6" s="119" t="s">
        <v>40</v>
      </c>
      <c r="AK6" s="119" t="s">
        <v>40</v>
      </c>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row>
    <row r="7" spans="1:65" ht="164.25" customHeight="1" x14ac:dyDescent="0.25">
      <c r="A7" s="236">
        <v>2</v>
      </c>
      <c r="B7" s="194" t="s">
        <v>281</v>
      </c>
      <c r="C7" s="122" t="s">
        <v>117</v>
      </c>
      <c r="D7" s="119" t="s">
        <v>314</v>
      </c>
      <c r="E7" s="119" t="s">
        <v>313</v>
      </c>
      <c r="F7" s="119" t="s">
        <v>315</v>
      </c>
      <c r="G7" s="119" t="s">
        <v>108</v>
      </c>
      <c r="H7" s="122">
        <v>14</v>
      </c>
      <c r="I7" s="111" t="str">
        <f t="shared" ref="I7:I11" si="10">IF(H7&lt;=0,"",IF(H7&lt;=2,"Muy Baja",IF(H7&lt;=24,"Baja",IF(H7&lt;=500,"Media",IF(H7&lt;=5000,"Alta","Muy Alta")))))</f>
        <v>Baja</v>
      </c>
      <c r="J7" s="219">
        <f t="shared" ref="J7:J11" si="11">IF(I7="","",IF(I7="Muy Baja",0.2,IF(I7="Baja",0.4,IF(I7="Media",0.6,IF(I7="Alta",0.8,IF(I7="Muy Alta",1,))))))</f>
        <v>0.4</v>
      </c>
      <c r="K7" s="121" t="s">
        <v>88</v>
      </c>
      <c r="L7" s="141" t="s">
        <v>419</v>
      </c>
      <c r="M7" s="219" t="str">
        <f ca="1">IF(NOT(ISERROR(MATCH(L7,'Tabla Impacto.'!$A$220:$A$222,0))),'Tabla Impacto.'!$E$222&amp;"Por favor no seleccionar los criterios de impacto(Afectación Económica o presupuestal y Pérdida Reputacional)",L7)</f>
        <v xml:space="preserve">     Afectación menor a 10 SMLMV .</v>
      </c>
      <c r="N7" s="120" t="str">
        <f ca="1">IF(OR(M7='[2]Tabla Impacto'!$C$11,M7='[2]Tabla Impacto'!$D$11),"Leve",IF(OR(M7='[2]Tabla Impacto'!$C$12,M7='[2]Tabla Impacto'!$D$12),"Menor",IF(OR(M7='[2]Tabla Impacto'!$C$13,M7='[2]Tabla Impacto'!$D$13),"Moderado",IF(OR(M7='[2]Tabla Impacto'!$C$14,M7='[2]Tabla Impacto'!$D$14),"Mayor",IF(OR(M7='[2]Tabla Impacto'!$C$15,M7='[2]Tabla Impacto'!$D$15),"Catastrófico","")))))</f>
        <v>Leve</v>
      </c>
      <c r="O7" s="219">
        <f t="shared" ref="O7:O8" ca="1" si="12">IF(N7="","",IF(N7="Leve",0.2,IF(N7="Menor",0.4,IF(N7="Moderado",0.6,IF(N7="Mayor",0.8,IF(N7="Catastrófico",1,))))))</f>
        <v>0.2</v>
      </c>
      <c r="P7" s="218" t="str">
        <f t="shared" ref="P7:P8" ca="1" si="13">IF(OR(AND(I7="Muy Baja",N7="Leve"),AND(I7="Muy Baja",N7="Menor"),AND(I7="Baja",N7="Leve")),"Bajo",IF(OR(AND(I7="Muy baja",N7="Moderado"),AND(I7="Baja",N7="Menor"),AND(I7="Baja",N7="Moderado"),AND(I7="Media",N7="Leve"),AND(I7="Media",N7="Menor"),AND(I7="Media",N7="Moderado"),AND(I7="Alta",N7="Leve"),AND(I7="Alta",N7="Menor")),"Moderado",IF(OR(AND(I7="Muy Baja",N7="Mayor"),AND(I7="Baja",N7="Mayor"),AND(I7="Media",N7="Mayor"),AND(I7="Alta",N7="Moderado"),AND(I7="Alta",N7="Mayor"),AND(I7="Muy Alta",N7="Leve"),AND(I7="Muy Alta",N7="Menor"),AND(I7="Muy Alta",N7="Moderado"),AND(I7="Muy Alta",N7="Mayor")),"Alto",IF(OR(AND(I7="Muy Baja",N7="Catastrófico"),AND(I7="Baja",N7="Catastrófico"),AND(I7="Media",N7="Catastrófico"),AND(I7="Alta",N7="Catastrófico"),AND(I7="Muy Alta",N7="Catastrófico")),"Extremo",""))))</f>
        <v>Bajo</v>
      </c>
      <c r="Q7" s="110">
        <v>1</v>
      </c>
      <c r="R7" s="162" t="s">
        <v>316</v>
      </c>
      <c r="S7" s="98" t="str">
        <f t="shared" ref="S7" si="14">IF(OR(T7="Preventivo",T7="Detectivo"),"Probabilidad",IF(T7="Correctivo","Impacto",""))</f>
        <v>Probabilidad</v>
      </c>
      <c r="T7" s="215" t="s">
        <v>13</v>
      </c>
      <c r="U7" s="215" t="s">
        <v>8</v>
      </c>
      <c r="V7" s="121" t="str">
        <f t="shared" si="7"/>
        <v>40%</v>
      </c>
      <c r="W7" s="215" t="s">
        <v>18</v>
      </c>
      <c r="X7" s="215" t="s">
        <v>21</v>
      </c>
      <c r="Y7" s="215" t="s">
        <v>104</v>
      </c>
      <c r="Z7" s="99">
        <f>IFERROR(IF(S7="Probabilidad",(J7-(+J7*V7)),IF(S7="Impacto",J7,"")),"")</f>
        <v>0.24</v>
      </c>
      <c r="AA7" s="100" t="str">
        <f>IFERROR(IF(Z7="","",IF(Z7&lt;=0.2,"Muy Baja",IF(Z7&lt;=0.4,"Baja",IF(Z7&lt;=0.6,"Media",IF(Z7&lt;=0.8,"Alta","Muy Alta"))))),"")</f>
        <v>Baja</v>
      </c>
      <c r="AB7" s="121">
        <f t="shared" ref="AB7" si="15">+Z7</f>
        <v>0.24</v>
      </c>
      <c r="AC7" s="100" t="str">
        <f ca="1">IFERROR(IF(AD7="","",IF(AD7&lt;=0.2,"Leve",IF(AD7&lt;=0.4,"Menor",IF(AD7&lt;=0.6,"Moderado",IF(AD7&lt;=0.8,"Mayor","Catastrófico"))))),"")</f>
        <v>Leve</v>
      </c>
      <c r="AD7" s="121">
        <f ca="1">IFERROR(IF(S7="Impacto",(O7-(+O7*V7)),IF(S7="Probabilidad",O7,"")),"")</f>
        <v>0.2</v>
      </c>
      <c r="AE7" s="101" t="str">
        <f t="shared" ref="AE7" ca="1" si="16">IFERROR(IF(OR(AND(AA7="Muy Baja",AC7="Leve"),AND(AA7="Muy Baja",AC7="Menor"),AND(AA7="Baja",AC7="Leve")),"Bajo",IF(OR(AND(AA7="Muy baja",AC7="Moderado"),AND(AA7="Baja",AC7="Menor"),AND(AA7="Baja",AC7="Moderado"),AND(AA7="Media",AC7="Leve"),AND(AA7="Media",AC7="Menor"),AND(AA7="Media",AC7="Moderado"),AND(AA7="Alta",AC7="Leve"),AND(AA7="Alta",AC7="Menor")),"Moderado",IF(OR(AND(AA7="Muy Baja",AC7="Mayor"),AND(AA7="Baja",AC7="Mayor"),AND(AA7="Media",AC7="Mayor"),AND(AA7="Alta",AC7="Moderado"),AND(AA7="Alta",AC7="Mayor"),AND(AA7="Muy Alta",AC7="Leve"),AND(AA7="Muy Alta",AC7="Menor"),AND(AA7="Muy Alta",AC7="Moderado"),AND(AA7="Muy Alta",AC7="Mayor")),"Alto",IF(OR(AND(AA7="Muy Baja",AC7="Catastrófico"),AND(AA7="Baja",AC7="Catastrófico"),AND(AA7="Media",AC7="Catastrófico"),AND(AA7="Alta",AC7="Catastrófico"),AND(AA7="Muy Alta",AC7="Catastrófico")),"Extremo","")))),"")</f>
        <v>Bajo</v>
      </c>
      <c r="AF7" s="215" t="s">
        <v>120</v>
      </c>
      <c r="AG7" s="119" t="s">
        <v>443</v>
      </c>
      <c r="AH7" s="142">
        <v>44593</v>
      </c>
      <c r="AI7" s="142">
        <v>44926</v>
      </c>
      <c r="AJ7" s="119" t="s">
        <v>40</v>
      </c>
      <c r="AK7" s="119" t="s">
        <v>40</v>
      </c>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row>
    <row r="8" spans="1:65" ht="99.75" customHeight="1" x14ac:dyDescent="0.25">
      <c r="A8" s="236">
        <v>3</v>
      </c>
      <c r="B8" s="194" t="s">
        <v>281</v>
      </c>
      <c r="C8" s="122" t="s">
        <v>118</v>
      </c>
      <c r="D8" s="119" t="s">
        <v>311</v>
      </c>
      <c r="E8" s="119" t="s">
        <v>312</v>
      </c>
      <c r="F8" s="119" t="s">
        <v>309</v>
      </c>
      <c r="G8" s="122" t="s">
        <v>112</v>
      </c>
      <c r="H8" s="122">
        <v>12</v>
      </c>
      <c r="I8" s="111" t="str">
        <f t="shared" si="10"/>
        <v>Baja</v>
      </c>
      <c r="J8" s="219">
        <f t="shared" si="11"/>
        <v>0.4</v>
      </c>
      <c r="K8" s="121" t="s">
        <v>88</v>
      </c>
      <c r="L8" s="141" t="s">
        <v>138</v>
      </c>
      <c r="M8" s="219" t="str">
        <f ca="1">IF(NOT(ISERROR(MATCH(L8,'Tabla Impacto.'!$A$220:$A$222,0))),'Tabla Impacto.'!$E$222&amp;"Por favor no seleccionar los criterios de impacto(Afectación Económica o presupuestal y Pérdida Reputacional)",L8)</f>
        <v xml:space="preserve">     El riesgo afecta la imagen de de la entidad con efecto publicitario sostenido a nivel de sector administrativo, nivel departamental o municipal</v>
      </c>
      <c r="N8" s="229" t="str">
        <f ca="1">IF(OR(M8='[2]Tabla Impacto'!$C$11,M8='[2]Tabla Impacto'!$D$11),"Leve",IF(OR(M8='[2]Tabla Impacto'!$C$12,M8='[2]Tabla Impacto'!$D$12),"Menor",IF(OR(M8='[2]Tabla Impacto'!$C$13,M8='[2]Tabla Impacto'!$D$13),"Moderado",IF(OR(M8='[2]Tabla Impacto'!$C$14,M8='[2]Tabla Impacto'!$D$14),"Mayor",IF(OR(M8='[2]Tabla Impacto'!$C$15,M8='[2]Tabla Impacto'!$D$15),"Catastrófico","")))))</f>
        <v>Mayor</v>
      </c>
      <c r="O8" s="219">
        <f t="shared" ca="1" si="12"/>
        <v>0.8</v>
      </c>
      <c r="P8" s="218" t="str">
        <f t="shared" ca="1" si="13"/>
        <v>Alto</v>
      </c>
      <c r="Q8" s="110">
        <v>1</v>
      </c>
      <c r="R8" s="119" t="s">
        <v>310</v>
      </c>
      <c r="S8" s="102" t="str">
        <f t="shared" ref="S8" si="17">IF(OR(T8="Preventivo",T8="Detectivo"),"Probabilidad",IF(T8="Correctivo","Impacto",""))</f>
        <v>Probabilidad</v>
      </c>
      <c r="T8" s="215" t="s">
        <v>13</v>
      </c>
      <c r="U8" s="215" t="s">
        <v>8</v>
      </c>
      <c r="V8" s="121" t="str">
        <f t="shared" ref="V8" si="18">IF(AND(T8="Preventivo",U8="Automático"),"50%",IF(AND(T8="Preventivo",U8="Manual"),"40%",IF(AND(T8="Detectivo",U8="Automático"),"40%",IF(AND(T8="Detectivo",U8="Manual"),"30%",IF(AND(T8="Correctivo",U8="Automático"),"35%",IF(AND(T8="Correctivo",U8="Manual"),"25%",""))))))</f>
        <v>40%</v>
      </c>
      <c r="W8" s="215" t="s">
        <v>18</v>
      </c>
      <c r="X8" s="215" t="s">
        <v>21</v>
      </c>
      <c r="Y8" s="215" t="s">
        <v>104</v>
      </c>
      <c r="Z8" s="103">
        <f t="shared" ref="Z8:Z10" si="19">IFERROR(IF(S8="Probabilidad",(J8-(+J8*V8)),IF(S8="Impacto",J8,"")),"")</f>
        <v>0.24</v>
      </c>
      <c r="AA8" s="92" t="str">
        <f t="shared" ref="AA8:AA10" si="20">IFERROR(IF(Z8="","",IF(Z8&lt;=0.2,"Muy Baja",IF(Z8&lt;=0.4,"Baja",IF(Z8&lt;=0.6,"Media",IF(Z8&lt;=0.8,"Alta","Muy Alta"))))),"")</f>
        <v>Baja</v>
      </c>
      <c r="AB8" s="219">
        <f t="shared" si="4"/>
        <v>0.24</v>
      </c>
      <c r="AC8" s="92" t="str">
        <f t="shared" ref="AC8:AC10" ca="1" si="21">IFERROR(IF(AD8="","",IF(AD8&lt;=0.2,"Leve",IF(AD8&lt;=0.4,"Menor",IF(AD8&lt;=0.6,"Moderado",IF(AD8&lt;=0.8,"Mayor","Catastrófico"))))),"")</f>
        <v>Mayor</v>
      </c>
      <c r="AD8" s="219">
        <f t="shared" ref="AD8:AD10" ca="1" si="22">IFERROR(IF(S8="Impacto",(O8-(+O8*V8)),IF(S8="Probabilidad",O8,"")),"")</f>
        <v>0.8</v>
      </c>
      <c r="AE8" s="104" t="str">
        <f t="shared" ca="1" si="5"/>
        <v>Alto</v>
      </c>
      <c r="AF8" s="220" t="s">
        <v>120</v>
      </c>
      <c r="AG8" s="225" t="s">
        <v>444</v>
      </c>
      <c r="AH8" s="142">
        <v>44593</v>
      </c>
      <c r="AI8" s="142">
        <v>44926</v>
      </c>
      <c r="AJ8" s="119" t="s">
        <v>40</v>
      </c>
      <c r="AK8" s="119" t="s">
        <v>40</v>
      </c>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row>
    <row r="9" spans="1:65" ht="99.95" customHeight="1" x14ac:dyDescent="0.25">
      <c r="A9" s="236">
        <v>4</v>
      </c>
      <c r="B9" s="194" t="s">
        <v>282</v>
      </c>
      <c r="C9" s="119" t="s">
        <v>118</v>
      </c>
      <c r="D9" s="162" t="s">
        <v>290</v>
      </c>
      <c r="E9" s="162" t="s">
        <v>294</v>
      </c>
      <c r="F9" s="162" t="s">
        <v>295</v>
      </c>
      <c r="G9" s="119" t="s">
        <v>108</v>
      </c>
      <c r="H9" s="122">
        <v>12</v>
      </c>
      <c r="I9" s="111" t="str">
        <f t="shared" si="10"/>
        <v>Baja</v>
      </c>
      <c r="J9" s="219">
        <f t="shared" si="11"/>
        <v>0.4</v>
      </c>
      <c r="K9" s="121" t="s">
        <v>88</v>
      </c>
      <c r="L9" s="141" t="s">
        <v>136</v>
      </c>
      <c r="M9" s="121" t="str">
        <f ca="1">IF(NOT(ISERROR(MATCH(L9,'Tabla Impacto.'!$A$220:$A$222,0))),'Tabla Impacto.'!$E$222&amp;"Por favor no seleccionar los criterios de impacto(Afectación Económica o presupuestal y Pérdida Reputacional)",L9)</f>
        <v xml:space="preserve">     El riesgo afecta la imagen de la entidad internamente, de conocimiento general, nivel interno, de junta dircetiva y accionistas y/o de provedores</v>
      </c>
      <c r="N9" s="228" t="str">
        <f ca="1">IF(OR(M9='[2]Tabla Impacto'!$C$11,M9='[2]Tabla Impacto'!$D$11),"Leve",IF(OR(M9='[2]Tabla Impacto'!$C$12,M9='[2]Tabla Impacto'!$D$12),"Menor",IF(OR(M9='[2]Tabla Impacto'!$C$13,M9='[2]Tabla Impacto'!$D$13),"Moderado",IF(OR(M9='[2]Tabla Impacto'!$C$14,M9='[2]Tabla Impacto'!$D$14),"Mayor",IF(OR(M9='[2]Tabla Impacto'!$C$15,M9='[2]Tabla Impacto'!$D$15),"Catastrófico","")))))</f>
        <v>Menor</v>
      </c>
      <c r="O9" s="219">
        <f t="shared" ref="O9:O10" ca="1" si="23">IF(N9="","",IF(N9="Leve",0.2,IF(N9="Menor",0.4,IF(N9="Moderado",0.6,IF(N9="Mayor",0.8,IF(N9="Catastrófico",1,))))))</f>
        <v>0.4</v>
      </c>
      <c r="P9" s="218" t="str">
        <f t="shared" ref="P9:P10" ca="1" si="24">IF(OR(AND(I9="Muy Baja",N9="Leve"),AND(I9="Muy Baja",N9="Menor"),AND(I9="Baja",N9="Leve")),"Bajo",IF(OR(AND(I9="Muy baja",N9="Moderado"),AND(I9="Baja",N9="Menor"),AND(I9="Baja",N9="Moderado"),AND(I9="Media",N9="Leve"),AND(I9="Media",N9="Menor"),AND(I9="Media",N9="Moderado"),AND(I9="Alta",N9="Leve"),AND(I9="Alta",N9="Menor")),"Moderado",IF(OR(AND(I9="Muy Baja",N9="Mayor"),AND(I9="Baja",N9="Mayor"),AND(I9="Media",N9="Mayor"),AND(I9="Alta",N9="Moderado"),AND(I9="Alta",N9="Mayor"),AND(I9="Muy Alta",N9="Leve"),AND(I9="Muy Alta",N9="Menor"),AND(I9="Muy Alta",N9="Moderado"),AND(I9="Muy Alta",N9="Mayor")),"Alto",IF(OR(AND(I9="Muy Baja",N9="Catastrófico"),AND(I9="Baja",N9="Catastrófico"),AND(I9="Media",N9="Catastrófico"),AND(I9="Alta",N9="Catastrófico"),AND(I9="Muy Alta",N9="Catastrófico")),"Extremo",""))))</f>
        <v>Moderado</v>
      </c>
      <c r="Q9" s="110">
        <v>1</v>
      </c>
      <c r="R9" s="119" t="s">
        <v>417</v>
      </c>
      <c r="S9" s="102" t="str">
        <f t="shared" ref="S9:S25" si="25">IF(OR(T9="Preventivo",T9="Detectivo"),"Probabilidad",IF(T9="Correctivo","Impacto",""))</f>
        <v>Probabilidad</v>
      </c>
      <c r="T9" s="215" t="s">
        <v>13</v>
      </c>
      <c r="U9" s="215" t="s">
        <v>8</v>
      </c>
      <c r="V9" s="121" t="str">
        <f t="shared" ref="V9:V32" si="26">IF(AND(T9="Preventivo",U9="Automático"),"50%",IF(AND(T9="Preventivo",U9="Manual"),"40%",IF(AND(T9="Detectivo",U9="Automático"),"40%",IF(AND(T9="Detectivo",U9="Manual"),"30%",IF(AND(T9="Correctivo",U9="Automático"),"35%",IF(AND(T9="Correctivo",U9="Manual"),"25%",""))))))</f>
        <v>40%</v>
      </c>
      <c r="W9" s="215" t="s">
        <v>18</v>
      </c>
      <c r="X9" s="215" t="s">
        <v>21</v>
      </c>
      <c r="Y9" s="215" t="s">
        <v>104</v>
      </c>
      <c r="Z9" s="103">
        <f t="shared" si="19"/>
        <v>0.24</v>
      </c>
      <c r="AA9" s="92" t="str">
        <f t="shared" si="20"/>
        <v>Baja</v>
      </c>
      <c r="AB9" s="219">
        <f t="shared" si="4"/>
        <v>0.24</v>
      </c>
      <c r="AC9" s="92" t="str">
        <f t="shared" ca="1" si="21"/>
        <v>Menor</v>
      </c>
      <c r="AD9" s="219">
        <f t="shared" ca="1" si="22"/>
        <v>0.4</v>
      </c>
      <c r="AE9" s="104" t="str">
        <f t="shared" ca="1" si="5"/>
        <v>Moderado</v>
      </c>
      <c r="AF9" s="220" t="s">
        <v>30</v>
      </c>
      <c r="AG9" s="225" t="s">
        <v>416</v>
      </c>
      <c r="AH9" s="142">
        <v>44593</v>
      </c>
      <c r="AI9" s="142">
        <v>44926</v>
      </c>
      <c r="AJ9" s="119" t="s">
        <v>40</v>
      </c>
      <c r="AK9" s="119" t="s">
        <v>40</v>
      </c>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row>
    <row r="10" spans="1:65" ht="99.95" customHeight="1" x14ac:dyDescent="0.25">
      <c r="A10" s="236">
        <v>5</v>
      </c>
      <c r="B10" s="194" t="s">
        <v>283</v>
      </c>
      <c r="C10" s="225" t="s">
        <v>118</v>
      </c>
      <c r="D10" s="225" t="s">
        <v>287</v>
      </c>
      <c r="E10" s="225" t="s">
        <v>288</v>
      </c>
      <c r="F10" s="225" t="s">
        <v>289</v>
      </c>
      <c r="G10" s="119" t="s">
        <v>108</v>
      </c>
      <c r="H10" s="122">
        <v>144</v>
      </c>
      <c r="I10" s="111" t="str">
        <f t="shared" si="10"/>
        <v>Media</v>
      </c>
      <c r="J10" s="219">
        <f t="shared" si="11"/>
        <v>0.6</v>
      </c>
      <c r="K10" s="121" t="s">
        <v>89</v>
      </c>
      <c r="L10" s="141" t="s">
        <v>138</v>
      </c>
      <c r="M10" s="219" t="str">
        <f ca="1">IF(NOT(ISERROR(MATCH(L10,'Tabla Impacto.'!$A$220:$A$222,0))),'Tabla Impacto.'!$E$222&amp;"Por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8" t="str">
        <f ca="1">IF(OR(M10='[2]Tabla Impacto'!$C$11,M10='[2]Tabla Impacto'!$D$11),"Leve",IF(OR(M10='[2]Tabla Impacto'!$C$12,M10='[2]Tabla Impacto'!$D$12),"Menor",IF(OR(M10='[2]Tabla Impacto'!$C$13,M10='[2]Tabla Impacto'!$D$13),"Moderado",IF(OR(M10='[2]Tabla Impacto'!$C$14,M10='[2]Tabla Impacto'!$D$14),"Mayor",IF(OR(M10='[2]Tabla Impacto'!$C$15,M10='[2]Tabla Impacto'!$D$15),"Catastrófico","")))))</f>
        <v>Mayor</v>
      </c>
      <c r="O10" s="219">
        <f t="shared" ca="1" si="23"/>
        <v>0.8</v>
      </c>
      <c r="P10" s="218" t="str">
        <f t="shared" ca="1" si="24"/>
        <v>Alto</v>
      </c>
      <c r="Q10" s="110">
        <v>1</v>
      </c>
      <c r="R10" s="119" t="s">
        <v>409</v>
      </c>
      <c r="S10" s="102" t="str">
        <f t="shared" si="25"/>
        <v>Probabilidad</v>
      </c>
      <c r="T10" s="215" t="s">
        <v>13</v>
      </c>
      <c r="U10" s="215" t="s">
        <v>8</v>
      </c>
      <c r="V10" s="121" t="str">
        <f t="shared" si="26"/>
        <v>40%</v>
      </c>
      <c r="W10" s="215" t="s">
        <v>18</v>
      </c>
      <c r="X10" s="215" t="s">
        <v>21</v>
      </c>
      <c r="Y10" s="215" t="s">
        <v>104</v>
      </c>
      <c r="Z10" s="103">
        <f t="shared" si="19"/>
        <v>0.36</v>
      </c>
      <c r="AA10" s="92" t="str">
        <f t="shared" si="20"/>
        <v>Baja</v>
      </c>
      <c r="AB10" s="219">
        <f t="shared" si="4"/>
        <v>0.36</v>
      </c>
      <c r="AC10" s="92" t="str">
        <f t="shared" ca="1" si="21"/>
        <v>Mayor</v>
      </c>
      <c r="AD10" s="219">
        <f t="shared" ca="1" si="22"/>
        <v>0.8</v>
      </c>
      <c r="AE10" s="104" t="str">
        <f t="shared" ca="1" si="5"/>
        <v>Alto</v>
      </c>
      <c r="AF10" s="220" t="s">
        <v>120</v>
      </c>
      <c r="AG10" s="119" t="s">
        <v>445</v>
      </c>
      <c r="AH10" s="142">
        <v>44593</v>
      </c>
      <c r="AI10" s="142">
        <v>44926</v>
      </c>
      <c r="AJ10" s="119" t="s">
        <v>40</v>
      </c>
      <c r="AK10" s="119" t="s">
        <v>40</v>
      </c>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row>
    <row r="11" spans="1:65" ht="99.95" customHeight="1" x14ac:dyDescent="0.25">
      <c r="A11" s="236">
        <v>5</v>
      </c>
      <c r="B11" s="194" t="s">
        <v>283</v>
      </c>
      <c r="C11" s="225" t="s">
        <v>118</v>
      </c>
      <c r="D11" s="225" t="s">
        <v>287</v>
      </c>
      <c r="E11" s="225" t="s">
        <v>288</v>
      </c>
      <c r="F11" s="225" t="s">
        <v>289</v>
      </c>
      <c r="G11" s="119" t="s">
        <v>108</v>
      </c>
      <c r="H11" s="122">
        <v>144</v>
      </c>
      <c r="I11" s="111" t="str">
        <f t="shared" si="10"/>
        <v>Media</v>
      </c>
      <c r="J11" s="219">
        <f t="shared" si="11"/>
        <v>0.6</v>
      </c>
      <c r="K11" s="121" t="s">
        <v>89</v>
      </c>
      <c r="L11" s="141" t="s">
        <v>138</v>
      </c>
      <c r="M11" s="219"/>
      <c r="N11" s="111"/>
      <c r="O11" s="219"/>
      <c r="P11" s="218"/>
      <c r="Q11" s="110">
        <v>2</v>
      </c>
      <c r="R11" s="119" t="s">
        <v>410</v>
      </c>
      <c r="S11" s="102" t="str">
        <f t="shared" si="25"/>
        <v>Probabilidad</v>
      </c>
      <c r="T11" s="215" t="s">
        <v>13</v>
      </c>
      <c r="U11" s="215" t="s">
        <v>8</v>
      </c>
      <c r="V11" s="121" t="str">
        <f t="shared" si="26"/>
        <v>40%</v>
      </c>
      <c r="W11" s="215" t="s">
        <v>18</v>
      </c>
      <c r="X11" s="215" t="s">
        <v>21</v>
      </c>
      <c r="Y11" s="215" t="s">
        <v>104</v>
      </c>
      <c r="Z11" s="103">
        <f>IFERROR(IF(AND(S10="Probabilidad",S11="Probabilidad"),(AB10-(+AB10*V11)),IF(S11="Probabilidad",(J10-(+J10*V11)),IF(S11="Impacto",AB10,""))),"")</f>
        <v>0.216</v>
      </c>
      <c r="AA11" s="92" t="str">
        <f t="shared" si="8"/>
        <v>Baja</v>
      </c>
      <c r="AB11" s="219">
        <f t="shared" si="4"/>
        <v>0.216</v>
      </c>
      <c r="AC11" s="92" t="str">
        <f t="shared" ca="1" si="9"/>
        <v>Mayor</v>
      </c>
      <c r="AD11" s="219">
        <f ca="1">IFERROR(IF(AND(S10="Impacto",S11="Impacto"),(AD10-(+AD10*V11)),IF(S11="Impacto",($O$10-(+$O$10*V11)),IF(S11="Probabilidad",AD10,""))),"")</f>
        <v>0.8</v>
      </c>
      <c r="AE11" s="104" t="str">
        <f t="shared" ca="1" si="5"/>
        <v>Alto</v>
      </c>
      <c r="AF11" s="220" t="s">
        <v>120</v>
      </c>
      <c r="AG11" s="119" t="s">
        <v>445</v>
      </c>
      <c r="AH11" s="142">
        <v>44593</v>
      </c>
      <c r="AI11" s="142">
        <v>44926</v>
      </c>
      <c r="AJ11" s="119" t="s">
        <v>40</v>
      </c>
      <c r="AK11" s="119" t="s">
        <v>40</v>
      </c>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row>
    <row r="12" spans="1:65" ht="99.95" customHeight="1" x14ac:dyDescent="0.25">
      <c r="A12" s="236">
        <v>6</v>
      </c>
      <c r="B12" s="194" t="s">
        <v>279</v>
      </c>
      <c r="C12" s="122" t="s">
        <v>116</v>
      </c>
      <c r="D12" s="119" t="s">
        <v>465</v>
      </c>
      <c r="E12" s="119" t="s">
        <v>467</v>
      </c>
      <c r="F12" s="119" t="s">
        <v>466</v>
      </c>
      <c r="G12" s="122" t="s">
        <v>113</v>
      </c>
      <c r="H12" s="122">
        <v>50</v>
      </c>
      <c r="I12" s="111" t="str">
        <f>IF(H12&lt;=0,"",IF(H12&lt;=2,"Muy Baja",IF(H12&lt;=24,"Baja",IF(H12&lt;=500,"Media",IF(H12&lt;=5000,"Alta","Muy Alta")))))</f>
        <v>Media</v>
      </c>
      <c r="J12" s="219">
        <f>IF(I12="","",IF(I12="Muy Baja",0.2,IF(I12="Baja",0.4,IF(I12="Media",0.6,IF(I12="Alta",0.8,IF(I12="Muy Alta",1,))))))</f>
        <v>0.6</v>
      </c>
      <c r="K12" s="121" t="s">
        <v>89</v>
      </c>
      <c r="L12" s="141" t="s">
        <v>137</v>
      </c>
      <c r="M12" s="219" t="str">
        <f ca="1">IF(NOT(ISERROR(MATCH(L12,'Tabla Impacto.'!$A$220:$A$222,0))),'Tabla Impacto.'!$E$222&amp;"Por favor no seleccionar los criterios de impacto(Afectación Económica o presupuestal y Pérdida Reputacional)",L12)</f>
        <v xml:space="preserve">     El riesgo afecta la imagen de la entidad con algunos usuarios de relevancia frente al logro de los objetivos</v>
      </c>
      <c r="N12" s="228" t="str">
        <f ca="1">IF(OR(M12='[2]Tabla Impacto'!$C$11,M12='[2]Tabla Impacto'!$D$11),"Leve",IF(OR(M12='[2]Tabla Impacto'!$C$12,M12='[2]Tabla Impacto'!$D$12),"Menor",IF(OR(M12='[2]Tabla Impacto'!$C$13,M12='[2]Tabla Impacto'!$D$13),"Moderado",IF(OR(M12='[2]Tabla Impacto'!$C$14,M12='[2]Tabla Impacto'!$D$14),"Mayor",IF(OR(M12='[2]Tabla Impacto'!$C$15,M12='[2]Tabla Impacto'!$D$15),"Catastrófico","")))))</f>
        <v>Moderado</v>
      </c>
      <c r="O12" s="219">
        <f t="shared" ref="O12" ca="1" si="27">IF(N12="","",IF(N12="Leve",0.2,IF(N12="Menor",0.4,IF(N12="Moderado",0.6,IF(N12="Mayor",0.8,IF(N12="Catastrófico",1,))))))</f>
        <v>0.6</v>
      </c>
      <c r="P12" s="218" t="str">
        <f t="shared" ref="P12" ca="1" si="28">IF(OR(AND(I12="Muy Baja",N12="Leve"),AND(I12="Muy Baja",N12="Menor"),AND(I12="Baja",N12="Leve")),"Bajo",IF(OR(AND(I12="Muy baja",N12="Moderado"),AND(I12="Baja",N12="Menor"),AND(I12="Baja",N12="Moderado"),AND(I12="Media",N12="Leve"),AND(I12="Media",N12="Menor"),AND(I12="Media",N12="Moderado"),AND(I12="Alta",N12="Leve"),AND(I12="Alta",N12="Menor")),"Moderado",IF(OR(AND(I12="Muy Baja",N12="Mayor"),AND(I12="Baja",N12="Mayor"),AND(I12="Media",N12="Mayor"),AND(I12="Alta",N12="Moderado"),AND(I12="Alta",N12="Mayor"),AND(I12="Muy Alta",N12="Leve"),AND(I12="Muy Alta",N12="Menor"),AND(I12="Muy Alta",N12="Moderado"),AND(I12="Muy Alta",N12="Mayor")),"Alto",IF(OR(AND(I12="Muy Baja",N12="Catastrófico"),AND(I12="Baja",N12="Catastrófico"),AND(I12="Media",N12="Catastrófico"),AND(I12="Alta",N12="Catastrófico"),AND(I12="Muy Alta",N12="Catastrófico")),"Extremo",""))))</f>
        <v>Moderado</v>
      </c>
      <c r="Q12" s="110">
        <v>1</v>
      </c>
      <c r="R12" s="119" t="s">
        <v>468</v>
      </c>
      <c r="S12" s="102" t="str">
        <f t="shared" ref="S12" si="29">IF(OR(T12="Preventivo",T12="Detectivo"),"Probabilidad",IF(T12="Correctivo","Impacto",""))</f>
        <v>Probabilidad</v>
      </c>
      <c r="T12" s="215" t="s">
        <v>13</v>
      </c>
      <c r="U12" s="215" t="s">
        <v>8</v>
      </c>
      <c r="V12" s="121" t="str">
        <f t="shared" ref="V12" si="30">IF(AND(T12="Preventivo",U12="Automático"),"50%",IF(AND(T12="Preventivo",U12="Manual"),"40%",IF(AND(T12="Detectivo",U12="Automático"),"40%",IF(AND(T12="Detectivo",U12="Manual"),"30%",IF(AND(T12="Correctivo",U12="Automático"),"35%",IF(AND(T12="Correctivo",U12="Manual"),"25%",""))))))</f>
        <v>40%</v>
      </c>
      <c r="W12" s="215" t="s">
        <v>18</v>
      </c>
      <c r="X12" s="215" t="s">
        <v>21</v>
      </c>
      <c r="Y12" s="215" t="s">
        <v>104</v>
      </c>
      <c r="Z12" s="103">
        <f t="shared" ref="Z12" si="31">IFERROR(IF(S12="Probabilidad",(J12-(+J12*V12)),IF(S12="Impacto",J12,"")),"")</f>
        <v>0.36</v>
      </c>
      <c r="AA12" s="92" t="str">
        <f t="shared" si="8"/>
        <v>Baja</v>
      </c>
      <c r="AB12" s="219">
        <f t="shared" ref="AB12" si="32">+Z12</f>
        <v>0.36</v>
      </c>
      <c r="AC12" s="92" t="str">
        <f t="shared" ca="1" si="9"/>
        <v>Moderado</v>
      </c>
      <c r="AD12" s="219">
        <f t="shared" ref="AD12" ca="1" si="33">IFERROR(IF(S12="Impacto",(O12-(+O12*V12)),IF(S12="Probabilidad",O12,"")),"")</f>
        <v>0.6</v>
      </c>
      <c r="AE12" s="104" t="str">
        <f t="shared" ref="AE12" ca="1" si="34">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220" t="s">
        <v>120</v>
      </c>
      <c r="AG12" s="122" t="s">
        <v>473</v>
      </c>
      <c r="AH12" s="142">
        <v>44593</v>
      </c>
      <c r="AI12" s="142">
        <v>44926</v>
      </c>
      <c r="AJ12" s="119" t="s">
        <v>40</v>
      </c>
      <c r="AK12" s="119" t="s">
        <v>40</v>
      </c>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row>
    <row r="13" spans="1:65" ht="99.95" customHeight="1" x14ac:dyDescent="0.25">
      <c r="A13" s="236">
        <v>6</v>
      </c>
      <c r="B13" s="194" t="s">
        <v>279</v>
      </c>
      <c r="C13" s="122" t="s">
        <v>116</v>
      </c>
      <c r="D13" s="119" t="s">
        <v>465</v>
      </c>
      <c r="E13" s="119" t="s">
        <v>467</v>
      </c>
      <c r="F13" s="119" t="s">
        <v>466</v>
      </c>
      <c r="G13" s="122" t="s">
        <v>113</v>
      </c>
      <c r="H13" s="122">
        <v>50</v>
      </c>
      <c r="I13" s="111" t="str">
        <f>IF(H13&lt;=0,"",IF(H13&lt;=2,"Muy Baja",IF(H13&lt;=24,"Baja",IF(H13&lt;=500,"Media",IF(H13&lt;=5000,"Alta","Muy Alta")))))</f>
        <v>Media</v>
      </c>
      <c r="J13" s="219">
        <f>IF(I13="","",IF(I13="Muy Baja",0.2,IF(I13="Baja",0.4,IF(I13="Media",0.6,IF(I13="Alta",0.8,IF(I13="Muy Alta",1,))))))</f>
        <v>0.6</v>
      </c>
      <c r="K13" s="121" t="s">
        <v>89</v>
      </c>
      <c r="L13" s="141" t="s">
        <v>137</v>
      </c>
      <c r="M13" s="219" t="str">
        <f ca="1">IF(NOT(ISERROR(MATCH(L13,'Tabla Impacto.'!$A$220:$A$222,0))),'Tabla Impacto.'!$E$222&amp;"Por favor no seleccionar los criterios de impacto(Afectación Económica o presupuestal y Pérdida Reputacional)",L13)</f>
        <v xml:space="preserve">     El riesgo afecta la imagen de la entidad con algunos usuarios de relevancia frente al logro de los objetivos</v>
      </c>
      <c r="N13" s="111"/>
      <c r="O13" s="219"/>
      <c r="P13" s="218"/>
      <c r="Q13" s="110">
        <v>2</v>
      </c>
      <c r="R13" s="119" t="s">
        <v>470</v>
      </c>
      <c r="S13" s="102" t="str">
        <f t="shared" si="25"/>
        <v>Probabilidad</v>
      </c>
      <c r="T13" s="215" t="s">
        <v>13</v>
      </c>
      <c r="U13" s="215" t="s">
        <v>8</v>
      </c>
      <c r="V13" s="121" t="str">
        <f t="shared" si="26"/>
        <v>40%</v>
      </c>
      <c r="W13" s="215" t="s">
        <v>18</v>
      </c>
      <c r="X13" s="215" t="s">
        <v>21</v>
      </c>
      <c r="Y13" s="215" t="s">
        <v>104</v>
      </c>
      <c r="Z13" s="103">
        <f>IFERROR(IF(AND(S12="Probabilidad",S13="Probabilidad"),(AB12-(+AB12*V13)),IF(S13="Probabilidad",(J12-(+J12*V13)),IF(S13="Impacto",AB12,""))),"")</f>
        <v>0.216</v>
      </c>
      <c r="AA13" s="92" t="str">
        <f t="shared" si="8"/>
        <v>Baja</v>
      </c>
      <c r="AB13" s="219">
        <f t="shared" si="4"/>
        <v>0.216</v>
      </c>
      <c r="AC13" s="92" t="str">
        <f t="shared" ca="1" si="9"/>
        <v>Moderado</v>
      </c>
      <c r="AD13" s="219">
        <f ca="1">IFERROR(IF(AND(S12="Impacto",S13="Impacto"),(AD12-(+AD12*V13)),IF(S13="Impacto",($O$12-(+$O$12*V13)),IF(S13="Probabilidad",AD12,""))),"")</f>
        <v>0.6</v>
      </c>
      <c r="AE13" s="104" t="str">
        <f t="shared" ca="1" si="5"/>
        <v>Moderado</v>
      </c>
      <c r="AF13" s="220" t="s">
        <v>120</v>
      </c>
      <c r="AG13" s="122" t="s">
        <v>473</v>
      </c>
      <c r="AH13" s="142">
        <v>44593</v>
      </c>
      <c r="AI13" s="142">
        <v>44926</v>
      </c>
      <c r="AJ13" s="119" t="s">
        <v>40</v>
      </c>
      <c r="AK13" s="119" t="s">
        <v>40</v>
      </c>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row>
    <row r="14" spans="1:65" ht="99.95" customHeight="1" x14ac:dyDescent="0.25">
      <c r="A14" s="236">
        <v>6</v>
      </c>
      <c r="B14" s="194" t="s">
        <v>279</v>
      </c>
      <c r="C14" s="122" t="s">
        <v>116</v>
      </c>
      <c r="D14" s="119" t="s">
        <v>465</v>
      </c>
      <c r="E14" s="119" t="s">
        <v>467</v>
      </c>
      <c r="F14" s="119" t="s">
        <v>466</v>
      </c>
      <c r="G14" s="122" t="s">
        <v>113</v>
      </c>
      <c r="H14" s="122">
        <v>50</v>
      </c>
      <c r="I14" s="111" t="str">
        <f>IF(H14&lt;=0,"",IF(H14&lt;=2,"Muy Baja",IF(H14&lt;=24,"Baja",IF(H14&lt;=500,"Media",IF(H14&lt;=5000,"Alta","Muy Alta")))))</f>
        <v>Media</v>
      </c>
      <c r="J14" s="219">
        <f>IF(I14="","",IF(I14="Muy Baja",0.2,IF(I14="Baja",0.4,IF(I14="Media",0.6,IF(I14="Alta",0.8,IF(I14="Muy Alta",1,))))))</f>
        <v>0.6</v>
      </c>
      <c r="K14" s="121" t="s">
        <v>89</v>
      </c>
      <c r="L14" s="141" t="s">
        <v>137</v>
      </c>
      <c r="M14" s="219" t="str">
        <f ca="1">IF(NOT(ISERROR(MATCH(L14,'Tabla Impacto.'!$A$220:$A$222,0))),'Tabla Impacto.'!$E$222&amp;"Por favor no seleccionar los criterios de impacto(Afectación Económica o presupuestal y Pérdida Reputacional)",L14)</f>
        <v xml:space="preserve">     El riesgo afecta la imagen de la entidad con algunos usuarios de relevancia frente al logro de los objetivos</v>
      </c>
      <c r="N14" s="111"/>
      <c r="O14" s="219"/>
      <c r="P14" s="218"/>
      <c r="Q14" s="110">
        <v>3</v>
      </c>
      <c r="R14" s="119" t="s">
        <v>469</v>
      </c>
      <c r="S14" s="102" t="str">
        <f t="shared" si="25"/>
        <v>Probabilidad</v>
      </c>
      <c r="T14" s="215" t="s">
        <v>13</v>
      </c>
      <c r="U14" s="215" t="s">
        <v>8</v>
      </c>
      <c r="V14" s="121" t="str">
        <f t="shared" si="26"/>
        <v>40%</v>
      </c>
      <c r="W14" s="215" t="s">
        <v>18</v>
      </c>
      <c r="X14" s="215" t="s">
        <v>21</v>
      </c>
      <c r="Y14" s="215" t="s">
        <v>104</v>
      </c>
      <c r="Z14" s="103">
        <f>IFERROR(IF(AND(S13="Probabilidad",S14="Probabilidad"),(AB13-(+AB13*V14)),IF(AND(S13="Impacto",S14="Probabilidad"),(AB12-(+AB12*V14)),IF(S14="Impacto",AB13,""))),"")</f>
        <v>0.12959999999999999</v>
      </c>
      <c r="AA14" s="92" t="str">
        <f t="shared" si="8"/>
        <v>Muy Baja</v>
      </c>
      <c r="AB14" s="219">
        <f t="shared" si="4"/>
        <v>0.12959999999999999</v>
      </c>
      <c r="AC14" s="92" t="str">
        <f t="shared" ca="1" si="9"/>
        <v>Moderado</v>
      </c>
      <c r="AD14" s="219">
        <f ca="1">IFERROR(IF(AND(S13="Impacto",S14="Impacto"),(AD13-(+AD13*V14)),IF(AND(S13="Probabilidad",S14="Impacto"),(AD12-(+AD12*V14)),IF(S14="Probabilidad",AD13,""))),"")</f>
        <v>0.6</v>
      </c>
      <c r="AE14" s="104" t="str">
        <f t="shared" ca="1" si="5"/>
        <v>Moderado</v>
      </c>
      <c r="AF14" s="220" t="s">
        <v>120</v>
      </c>
      <c r="AG14" s="122" t="s">
        <v>473</v>
      </c>
      <c r="AH14" s="142">
        <v>44593</v>
      </c>
      <c r="AI14" s="142">
        <v>44926</v>
      </c>
      <c r="AJ14" s="119" t="s">
        <v>40</v>
      </c>
      <c r="AK14" s="119" t="s">
        <v>40</v>
      </c>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row>
    <row r="15" spans="1:65" ht="99.95" customHeight="1" x14ac:dyDescent="0.25">
      <c r="A15" s="236">
        <v>7</v>
      </c>
      <c r="B15" s="194" t="s">
        <v>279</v>
      </c>
      <c r="C15" s="122" t="s">
        <v>116</v>
      </c>
      <c r="D15" s="119" t="s">
        <v>472</v>
      </c>
      <c r="E15" s="119" t="s">
        <v>471</v>
      </c>
      <c r="F15" s="119" t="s">
        <v>479</v>
      </c>
      <c r="G15" s="119" t="s">
        <v>108</v>
      </c>
      <c r="H15" s="122">
        <v>100</v>
      </c>
      <c r="I15" s="111" t="str">
        <f>IF(H15&lt;=0,"",IF(H15&lt;=2,"Muy Baja",IF(H15&lt;=24,"Baja",IF(H15&lt;=500,"Media",IF(H15&lt;=5000,"Alta","Muy Alta")))))</f>
        <v>Media</v>
      </c>
      <c r="J15" s="219">
        <f>IF(I15="","",IF(I15="Muy Baja",0.2,IF(I15="Baja",0.4,IF(I15="Media",0.6,IF(I15="Alta",0.8,IF(I15="Muy Alta",1,))))))</f>
        <v>0.6</v>
      </c>
      <c r="K15" s="121" t="s">
        <v>89</v>
      </c>
      <c r="L15" s="141" t="s">
        <v>138</v>
      </c>
      <c r="M15" s="219" t="str">
        <f ca="1">IF(NOT(ISERROR(MATCH(L15,'Tabla Impacto.'!$A$220:$A$222,0))),'Tabla Impacto.'!$E$222&amp;"Por favor no seleccionar los criterios de impacto(Afectación Económica o presupuestal y Pérdida Reputacional)",L15)</f>
        <v xml:space="preserve">     El riesgo afecta la imagen de de la entidad con efecto publicitario sostenido a nivel de sector administrativo, nivel departamental o municipal</v>
      </c>
      <c r="N15" s="228" t="str">
        <f ca="1">IF(OR(M15='[2]Tabla Impacto'!$C$11,M15='[2]Tabla Impacto'!$D$11),"Leve",IF(OR(M15='[2]Tabla Impacto'!$C$12,M15='[2]Tabla Impacto'!$D$12),"Menor",IF(OR(M15='[2]Tabla Impacto'!$C$13,M15='[2]Tabla Impacto'!$D$13),"Moderado",IF(OR(M15='[2]Tabla Impacto'!$C$14,M15='[2]Tabla Impacto'!$D$14),"Mayor",IF(OR(M15='[2]Tabla Impacto'!$C$15,M15='[2]Tabla Impacto'!$D$15),"Catastrófico","")))))</f>
        <v>Mayor</v>
      </c>
      <c r="O15" s="219">
        <f t="shared" ref="O15" ca="1" si="35">IF(N15="","",IF(N15="Leve",0.2,IF(N15="Menor",0.4,IF(N15="Moderado",0.6,IF(N15="Mayor",0.8,IF(N15="Catastrófico",1,))))))</f>
        <v>0.8</v>
      </c>
      <c r="P15" s="218" t="str">
        <f t="shared" ref="P15" ca="1" si="36">IF(OR(AND(I15="Muy Baja",N15="Leve"),AND(I15="Muy Baja",N15="Menor"),AND(I15="Baja",N15="Leve")),"Bajo",IF(OR(AND(I15="Muy baja",N15="Moderado"),AND(I15="Baja",N15="Menor"),AND(I15="Baja",N15="Moderado"),AND(I15="Media",N15="Leve"),AND(I15="Media",N15="Menor"),AND(I15="Media",N15="Moderado"),AND(I15="Alta",N15="Leve"),AND(I15="Alta",N15="Menor")),"Moderado",IF(OR(AND(I15="Muy Baja",N15="Mayor"),AND(I15="Baja",N15="Mayor"),AND(I15="Media",N15="Mayor"),AND(I15="Alta",N15="Moderado"),AND(I15="Alta",N15="Mayor"),AND(I15="Muy Alta",N15="Leve"),AND(I15="Muy Alta",N15="Menor"),AND(I15="Muy Alta",N15="Moderado"),AND(I15="Muy Alta",N15="Mayor")),"Alto",IF(OR(AND(I15="Muy Baja",N15="Catastrófico"),AND(I15="Baja",N15="Catastrófico"),AND(I15="Media",N15="Catastrófico"),AND(I15="Alta",N15="Catastrófico"),AND(I15="Muy Alta",N15="Catastrófico")),"Extremo",""))))</f>
        <v>Alto</v>
      </c>
      <c r="Q15" s="110">
        <v>1</v>
      </c>
      <c r="R15" s="119" t="s">
        <v>475</v>
      </c>
      <c r="S15" s="102" t="str">
        <f t="shared" ref="S15" si="37">IF(OR(T15="Preventivo",T15="Detectivo"),"Probabilidad",IF(T15="Correctivo","Impacto",""))</f>
        <v>Probabilidad</v>
      </c>
      <c r="T15" s="215" t="s">
        <v>13</v>
      </c>
      <c r="U15" s="215" t="s">
        <v>8</v>
      </c>
      <c r="V15" s="121" t="str">
        <f t="shared" ref="V15" si="38">IF(AND(T15="Preventivo",U15="Automático"),"50%",IF(AND(T15="Preventivo",U15="Manual"),"40%",IF(AND(T15="Detectivo",U15="Automático"),"40%",IF(AND(T15="Detectivo",U15="Manual"),"30%",IF(AND(T15="Correctivo",U15="Automático"),"35%",IF(AND(T15="Correctivo",U15="Manual"),"25%",""))))))</f>
        <v>40%</v>
      </c>
      <c r="W15" s="215" t="s">
        <v>18</v>
      </c>
      <c r="X15" s="215" t="s">
        <v>21</v>
      </c>
      <c r="Y15" s="215" t="s">
        <v>104</v>
      </c>
      <c r="Z15" s="103">
        <f t="shared" ref="Z15" si="39">IFERROR(IF(S15="Probabilidad",(J15-(+J15*V15)),IF(S15="Impacto",J15,"")),"")</f>
        <v>0.36</v>
      </c>
      <c r="AA15" s="92" t="str">
        <f t="shared" si="8"/>
        <v>Baja</v>
      </c>
      <c r="AB15" s="219">
        <f t="shared" ref="AB15" si="40">+Z15</f>
        <v>0.36</v>
      </c>
      <c r="AC15" s="92" t="str">
        <f t="shared" ca="1" si="9"/>
        <v>Mayor</v>
      </c>
      <c r="AD15" s="219">
        <f t="shared" ref="AD15" ca="1" si="41">IFERROR(IF(S15="Impacto",(O15-(+O15*V15)),IF(S15="Probabilidad",O15,"")),"")</f>
        <v>0.8</v>
      </c>
      <c r="AE15" s="104" t="str">
        <f t="shared" ref="AE15" ca="1" si="42">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220" t="s">
        <v>120</v>
      </c>
      <c r="AG15" s="122" t="s">
        <v>485</v>
      </c>
      <c r="AH15" s="142">
        <v>44593</v>
      </c>
      <c r="AI15" s="142">
        <v>44926</v>
      </c>
      <c r="AJ15" s="119" t="s">
        <v>40</v>
      </c>
      <c r="AK15" s="119" t="s">
        <v>40</v>
      </c>
      <c r="AL15" s="216"/>
      <c r="AM15" s="216"/>
      <c r="AN15" s="216"/>
      <c r="AO15" s="22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row>
    <row r="16" spans="1:65" ht="99.95" customHeight="1" x14ac:dyDescent="0.25">
      <c r="A16" s="236">
        <v>7</v>
      </c>
      <c r="B16" s="194" t="s">
        <v>279</v>
      </c>
      <c r="C16" s="122" t="s">
        <v>116</v>
      </c>
      <c r="D16" s="119" t="s">
        <v>472</v>
      </c>
      <c r="E16" s="119" t="s">
        <v>471</v>
      </c>
      <c r="F16" s="119" t="s">
        <v>479</v>
      </c>
      <c r="G16" s="119" t="s">
        <v>108</v>
      </c>
      <c r="H16" s="122">
        <v>100</v>
      </c>
      <c r="I16" s="111" t="str">
        <f t="shared" ref="I16:I18" si="43">IF(H16&lt;=0,"",IF(H16&lt;=2,"Muy Baja",IF(H16&lt;=24,"Baja",IF(H16&lt;=500,"Media",IF(H16&lt;=5000,"Alta","Muy Alta")))))</f>
        <v>Media</v>
      </c>
      <c r="J16" s="219">
        <f t="shared" ref="J16:J18" si="44">IF(I16="","",IF(I16="Muy Baja",0.2,IF(I16="Baja",0.4,IF(I16="Media",0.6,IF(I16="Alta",0.8,IF(I16="Muy Alta",1,))))))</f>
        <v>0.6</v>
      </c>
      <c r="K16" s="121" t="s">
        <v>89</v>
      </c>
      <c r="L16" s="141" t="s">
        <v>138</v>
      </c>
      <c r="M16" s="219" t="str">
        <f ca="1">IF(NOT(ISERROR(MATCH(L16,'Tabla Impacto.'!$A$220:$A$222,0))),'Tabla Impacto.'!$E$222&amp;"Por favor no seleccionar los criterios de impacto(Afectación Económica o presupuestal y Pérdida Reputacional)",L16)</f>
        <v xml:space="preserve">     El riesgo afecta la imagen de de la entidad con efecto publicitario sostenido a nivel de sector administrativo, nivel departamental o municipal</v>
      </c>
      <c r="N16" s="111"/>
      <c r="O16" s="219"/>
      <c r="P16" s="218"/>
      <c r="Q16" s="110">
        <v>2</v>
      </c>
      <c r="R16" s="119" t="s">
        <v>476</v>
      </c>
      <c r="S16" s="102" t="str">
        <f t="shared" si="25"/>
        <v>Probabilidad</v>
      </c>
      <c r="T16" s="215" t="s">
        <v>13</v>
      </c>
      <c r="U16" s="215" t="s">
        <v>8</v>
      </c>
      <c r="V16" s="121" t="str">
        <f t="shared" si="26"/>
        <v>40%</v>
      </c>
      <c r="W16" s="215" t="s">
        <v>18</v>
      </c>
      <c r="X16" s="215" t="s">
        <v>21</v>
      </c>
      <c r="Y16" s="215" t="s">
        <v>104</v>
      </c>
      <c r="Z16" s="103">
        <f>IFERROR(IF(AND(S15="Probabilidad",S16="Probabilidad"),(AB15-(+AB15*V16)),IF(S16="Probabilidad",(J15-(+J15*V16)),IF(S16="Impacto",AB15,""))),"")</f>
        <v>0.216</v>
      </c>
      <c r="AA16" s="92" t="str">
        <f t="shared" si="8"/>
        <v>Baja</v>
      </c>
      <c r="AB16" s="219">
        <f t="shared" si="4"/>
        <v>0.216</v>
      </c>
      <c r="AC16" s="92" t="str">
        <f t="shared" ca="1" si="9"/>
        <v>Mayor</v>
      </c>
      <c r="AD16" s="219">
        <f ca="1">IFERROR(IF(AND(S15="Impacto",S16="Impacto"),(AD15-(+AD12*V16)),IF(S16="Impacto",($O$15-(+$O$15*V16)),IF(S16="Probabilidad",AD15,""))),"")</f>
        <v>0.8</v>
      </c>
      <c r="AE16" s="104" t="str">
        <f t="shared" ca="1" si="5"/>
        <v>Alto</v>
      </c>
      <c r="AF16" s="220" t="s">
        <v>120</v>
      </c>
      <c r="AG16" s="122" t="s">
        <v>485</v>
      </c>
      <c r="AH16" s="142">
        <v>44593</v>
      </c>
      <c r="AI16" s="142">
        <v>44926</v>
      </c>
      <c r="AJ16" s="119" t="s">
        <v>40</v>
      </c>
      <c r="AK16" s="119" t="s">
        <v>40</v>
      </c>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row>
    <row r="17" spans="1:65" ht="99.95" customHeight="1" x14ac:dyDescent="0.25">
      <c r="A17" s="236">
        <v>7</v>
      </c>
      <c r="B17" s="194" t="s">
        <v>279</v>
      </c>
      <c r="C17" s="122" t="s">
        <v>116</v>
      </c>
      <c r="D17" s="119" t="s">
        <v>472</v>
      </c>
      <c r="E17" s="119" t="s">
        <v>471</v>
      </c>
      <c r="F17" s="119" t="s">
        <v>479</v>
      </c>
      <c r="G17" s="119" t="s">
        <v>108</v>
      </c>
      <c r="H17" s="122">
        <v>100</v>
      </c>
      <c r="I17" s="111" t="str">
        <f t="shared" si="43"/>
        <v>Media</v>
      </c>
      <c r="J17" s="219">
        <f t="shared" si="44"/>
        <v>0.6</v>
      </c>
      <c r="K17" s="121" t="s">
        <v>89</v>
      </c>
      <c r="L17" s="141" t="s">
        <v>138</v>
      </c>
      <c r="M17" s="219" t="str">
        <f ca="1">IF(NOT(ISERROR(MATCH(L17,'Tabla Impacto.'!$A$220:$A$222,0))),'Tabla Impacto.'!$E$222&amp;"Por favor no seleccionar los criterios de impacto(Afectación Económica o presupuestal y Pérdida Reputacional)",L17)</f>
        <v xml:space="preserve">     El riesgo afecta la imagen de de la entidad con efecto publicitario sostenido a nivel de sector administrativo, nivel departamental o municipal</v>
      </c>
      <c r="N17" s="111"/>
      <c r="O17" s="219"/>
      <c r="P17" s="218"/>
      <c r="Q17" s="110">
        <v>3</v>
      </c>
      <c r="R17" s="119" t="s">
        <v>477</v>
      </c>
      <c r="S17" s="102" t="str">
        <f t="shared" si="25"/>
        <v>Probabilidad</v>
      </c>
      <c r="T17" s="215" t="s">
        <v>13</v>
      </c>
      <c r="U17" s="215" t="s">
        <v>8</v>
      </c>
      <c r="V17" s="121" t="str">
        <f t="shared" si="26"/>
        <v>40%</v>
      </c>
      <c r="W17" s="215" t="s">
        <v>18</v>
      </c>
      <c r="X17" s="215" t="s">
        <v>21</v>
      </c>
      <c r="Y17" s="215" t="s">
        <v>104</v>
      </c>
      <c r="Z17" s="103">
        <f>IFERROR(IF(AND(S16="Probabilidad",S17="Probabilidad"),(AB16-(+AB16*V17)),IF(AND(S16="Impacto",S17="Probabilidad"),(AB15-(+AB15*V17)),IF(S17="Impacto",AB16,""))),"")</f>
        <v>0.12959999999999999</v>
      </c>
      <c r="AA17" s="92" t="str">
        <f t="shared" si="8"/>
        <v>Muy Baja</v>
      </c>
      <c r="AB17" s="219">
        <f t="shared" si="4"/>
        <v>0.12959999999999999</v>
      </c>
      <c r="AC17" s="92" t="str">
        <f t="shared" ca="1" si="9"/>
        <v>Mayor</v>
      </c>
      <c r="AD17" s="219">
        <f ca="1">IFERROR(IF(AND(S16="Impacto",S17="Impacto"),(AD16-(+AD16*V17)),IF(AND(S16="Probabilidad",S17="Impacto"),(AD15-(+AD15*V17)),IF(S17="Probabilidad",AD16,""))),"")</f>
        <v>0.8</v>
      </c>
      <c r="AE17" s="104" t="str">
        <f t="shared" ca="1" si="5"/>
        <v>Alto</v>
      </c>
      <c r="AF17" s="220" t="s">
        <v>120</v>
      </c>
      <c r="AG17" s="122" t="s">
        <v>485</v>
      </c>
      <c r="AH17" s="142">
        <v>44593</v>
      </c>
      <c r="AI17" s="142">
        <v>44926</v>
      </c>
      <c r="AJ17" s="119" t="s">
        <v>40</v>
      </c>
      <c r="AK17" s="119" t="s">
        <v>40</v>
      </c>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row>
    <row r="18" spans="1:65" ht="99.95" customHeight="1" x14ac:dyDescent="0.25">
      <c r="A18" s="236">
        <v>7</v>
      </c>
      <c r="B18" s="194" t="s">
        <v>279</v>
      </c>
      <c r="C18" s="122" t="s">
        <v>116</v>
      </c>
      <c r="D18" s="119" t="s">
        <v>472</v>
      </c>
      <c r="E18" s="119" t="s">
        <v>471</v>
      </c>
      <c r="F18" s="119" t="s">
        <v>479</v>
      </c>
      <c r="G18" s="119" t="s">
        <v>108</v>
      </c>
      <c r="H18" s="122">
        <v>100</v>
      </c>
      <c r="I18" s="111" t="str">
        <f t="shared" si="43"/>
        <v>Media</v>
      </c>
      <c r="J18" s="219">
        <f t="shared" si="44"/>
        <v>0.6</v>
      </c>
      <c r="K18" s="121" t="s">
        <v>89</v>
      </c>
      <c r="L18" s="141" t="s">
        <v>138</v>
      </c>
      <c r="M18" s="219" t="str">
        <f ca="1">IF(NOT(ISERROR(MATCH(L18,'Tabla Impacto.'!$A$220:$A$222,0))),'Tabla Impacto.'!$E$222&amp;"Por favor no seleccionar los criterios de impacto(Afectación Económica o presupuestal y Pérdida Reputacional)",L18)</f>
        <v xml:space="preserve">     El riesgo afecta la imagen de de la entidad con efecto publicitario sostenido a nivel de sector administrativo, nivel departamental o municipal</v>
      </c>
      <c r="N18" s="111"/>
      <c r="O18" s="219"/>
      <c r="P18" s="218"/>
      <c r="Q18" s="154">
        <v>4</v>
      </c>
      <c r="R18" s="119" t="s">
        <v>478</v>
      </c>
      <c r="S18" s="102" t="str">
        <f t="shared" si="25"/>
        <v>Probabilidad</v>
      </c>
      <c r="T18" s="215" t="s">
        <v>13</v>
      </c>
      <c r="U18" s="215" t="s">
        <v>8</v>
      </c>
      <c r="V18" s="121" t="str">
        <f t="shared" si="26"/>
        <v>40%</v>
      </c>
      <c r="W18" s="215" t="s">
        <v>18</v>
      </c>
      <c r="X18" s="215" t="s">
        <v>21</v>
      </c>
      <c r="Y18" s="215" t="s">
        <v>104</v>
      </c>
      <c r="Z18" s="103">
        <f>IFERROR(IF(AND(S17="Probabilidad",S18="Probabilidad"),(AB17-(+AB17*V18)),IF(AND(S17="Impacto",S18="Probabilidad"),(AB16-(+AB16*V18)),IF(S18="Impacto",AB17,""))),"")</f>
        <v>7.7759999999999996E-2</v>
      </c>
      <c r="AA18" s="92" t="str">
        <f t="shared" si="8"/>
        <v>Muy Baja</v>
      </c>
      <c r="AB18" s="219">
        <f t="shared" si="4"/>
        <v>7.7759999999999996E-2</v>
      </c>
      <c r="AC18" s="92" t="str">
        <f t="shared" ca="1" si="9"/>
        <v>Mayor</v>
      </c>
      <c r="AD18" s="219">
        <f ca="1">IFERROR(IF(AND(S17="Impacto",S18="Impacto"),(AD17-(+AD17*V18)),IF(AND(S17="Probabilidad",S18="Impacto"),(AD16-(+AD16*V18)),IF(S18="Probabilidad",AD17,""))),"")</f>
        <v>0.8</v>
      </c>
      <c r="AE18" s="104" t="str">
        <f t="shared" ca="1" si="5"/>
        <v>Alto</v>
      </c>
      <c r="AF18" s="220" t="s">
        <v>120</v>
      </c>
      <c r="AG18" s="122" t="s">
        <v>485</v>
      </c>
      <c r="AH18" s="142">
        <v>44593</v>
      </c>
      <c r="AI18" s="142">
        <v>44926</v>
      </c>
      <c r="AJ18" s="119" t="s">
        <v>40</v>
      </c>
      <c r="AK18" s="119" t="s">
        <v>40</v>
      </c>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row>
    <row r="19" spans="1:65" ht="99.95" customHeight="1" x14ac:dyDescent="0.25">
      <c r="A19" s="236">
        <v>8</v>
      </c>
      <c r="B19" s="194" t="s">
        <v>284</v>
      </c>
      <c r="C19" s="122" t="s">
        <v>116</v>
      </c>
      <c r="D19" s="122" t="s">
        <v>327</v>
      </c>
      <c r="E19" s="122" t="s">
        <v>328</v>
      </c>
      <c r="F19" s="119" t="s">
        <v>480</v>
      </c>
      <c r="G19" s="122" t="s">
        <v>108</v>
      </c>
      <c r="H19" s="122">
        <v>8</v>
      </c>
      <c r="I19" s="111" t="str">
        <f>IF(H19&lt;=0,"",IF(H19&lt;=2,"Muy Baja",IF(H19&lt;=24,"Baja",IF(H19&lt;=500,"Media",IF(H19&lt;=5000,"Alta","Muy Alta")))))</f>
        <v>Baja</v>
      </c>
      <c r="J19" s="219">
        <f>IF(I19="","",IF(I19="Muy Baja",0.2,IF(I19="Baja",0.4,IF(I19="Media",0.6,IF(I19="Alta",0.8,IF(I19="Muy Alta",1,))))))</f>
        <v>0.4</v>
      </c>
      <c r="K19" s="121" t="s">
        <v>88</v>
      </c>
      <c r="L19" s="141" t="s">
        <v>138</v>
      </c>
      <c r="M19" s="219" t="str">
        <f ca="1">IF(NOT(ISERROR(MATCH(L19,'Tabla Impacto.'!$A$220:$A$222,0))),'Tabla Impacto.'!$E$222&amp;"Por favor no seleccionar los criterios de impacto(Afectación Económica o presupuestal y Pérdida Reputacional)",L19)</f>
        <v xml:space="preserve">     El riesgo afecta la imagen de de la entidad con efecto publicitario sostenido a nivel de sector administrativo, nivel departamental o municipal</v>
      </c>
      <c r="N19" s="228" t="str">
        <f ca="1">IF(OR(M19='[2]Tabla Impacto'!$C$11,M19='[2]Tabla Impacto'!$D$11),"Leve",IF(OR(M19='[2]Tabla Impacto'!$C$12,M19='[2]Tabla Impacto'!$D$12),"Menor",IF(OR(M19='[2]Tabla Impacto'!$C$13,M19='[2]Tabla Impacto'!$D$13),"Moderado",IF(OR(M19='[2]Tabla Impacto'!$C$14,M19='[2]Tabla Impacto'!$D$14),"Mayor",IF(OR(M19='[2]Tabla Impacto'!$C$15,M19='[2]Tabla Impacto'!$D$15),"Catastrófico","")))))</f>
        <v>Mayor</v>
      </c>
      <c r="O19" s="219">
        <f t="shared" ref="O19:O22" ca="1" si="45">IF(N19="","",IF(N19="Leve",0.2,IF(N19="Menor",0.4,IF(N19="Moderado",0.6,IF(N19="Mayor",0.8,IF(N19="Catastrófico",1,))))))</f>
        <v>0.8</v>
      </c>
      <c r="P19" s="218" t="str">
        <f t="shared" ref="P19:P22" ca="1" si="46">IF(OR(AND(I19="Muy Baja",N19="Leve"),AND(I19="Muy Baja",N19="Menor"),AND(I19="Baja",N19="Leve")),"Bajo",IF(OR(AND(I19="Muy baja",N19="Moderado"),AND(I19="Baja",N19="Menor"),AND(I19="Baja",N19="Moderado"),AND(I19="Media",N19="Leve"),AND(I19="Media",N19="Menor"),AND(I19="Media",N19="Moderado"),AND(I19="Alta",N19="Leve"),AND(I19="Alta",N19="Menor")),"Moderado",IF(OR(AND(I19="Muy Baja",N19="Mayor"),AND(I19="Baja",N19="Mayor"),AND(I19="Media",N19="Mayor"),AND(I19="Alta",N19="Moderado"),AND(I19="Alta",N19="Mayor"),AND(I19="Muy Alta",N19="Leve"),AND(I19="Muy Alta",N19="Menor"),AND(I19="Muy Alta",N19="Moderado"),AND(I19="Muy Alta",N19="Mayor")),"Alto",IF(OR(AND(I19="Muy Baja",N19="Catastrófico"),AND(I19="Baja",N19="Catastrófico"),AND(I19="Media",N19="Catastrófico"),AND(I19="Alta",N19="Catastrófico"),AND(I19="Muy Alta",N19="Catastrófico")),"Extremo",""))))</f>
        <v>Alto</v>
      </c>
      <c r="Q19" s="110">
        <v>1</v>
      </c>
      <c r="R19" s="122" t="s">
        <v>483</v>
      </c>
      <c r="S19" s="102" t="str">
        <f t="shared" si="25"/>
        <v>Probabilidad</v>
      </c>
      <c r="T19" s="215" t="s">
        <v>13</v>
      </c>
      <c r="U19" s="215" t="s">
        <v>8</v>
      </c>
      <c r="V19" s="121" t="str">
        <f t="shared" si="26"/>
        <v>40%</v>
      </c>
      <c r="W19" s="215" t="s">
        <v>18</v>
      </c>
      <c r="X19" s="215" t="s">
        <v>21</v>
      </c>
      <c r="Y19" s="215" t="s">
        <v>104</v>
      </c>
      <c r="Z19" s="103">
        <f t="shared" ref="Z19:Z20" si="47">IFERROR(IF(S19="Probabilidad",(J19-(+J19*V19)),IF(S19="Impacto",J19,"")),"")</f>
        <v>0.24</v>
      </c>
      <c r="AA19" s="92" t="str">
        <f t="shared" ref="AA19:AA20" si="48">IFERROR(IF(Z19="","",IF(Z19&lt;=0.2,"Muy Baja",IF(Z19&lt;=0.4,"Baja",IF(Z19&lt;=0.6,"Media",IF(Z19&lt;=0.8,"Alta","Muy Alta"))))),"")</f>
        <v>Baja</v>
      </c>
      <c r="AB19" s="219">
        <f t="shared" si="4"/>
        <v>0.24</v>
      </c>
      <c r="AC19" s="92" t="str">
        <f t="shared" ref="AC19:AC20" ca="1" si="49">IFERROR(IF(AD19="","",IF(AD19&lt;=0.2,"Leve",IF(AD19&lt;=0.4,"Menor",IF(AD19&lt;=0.6,"Moderado",IF(AD19&lt;=0.8,"Mayor","Catastrófico"))))),"")</f>
        <v>Mayor</v>
      </c>
      <c r="AD19" s="219">
        <f t="shared" ref="AD19:AD20" ca="1" si="50">IFERROR(IF(S19="Impacto",(O19-(+O19*V19)),IF(S19="Probabilidad",O19,"")),"")</f>
        <v>0.8</v>
      </c>
      <c r="AE19" s="104" t="str">
        <f t="shared" ca="1" si="5"/>
        <v>Alto</v>
      </c>
      <c r="AF19" s="220" t="s">
        <v>120</v>
      </c>
      <c r="AG19" s="122" t="s">
        <v>486</v>
      </c>
      <c r="AH19" s="142">
        <v>44593</v>
      </c>
      <c r="AI19" s="142">
        <v>44926</v>
      </c>
      <c r="AJ19" s="119" t="s">
        <v>40</v>
      </c>
      <c r="AK19" s="119" t="s">
        <v>40</v>
      </c>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row>
    <row r="20" spans="1:65" ht="99.95" customHeight="1" x14ac:dyDescent="0.25">
      <c r="A20" s="236">
        <v>9</v>
      </c>
      <c r="B20" s="194" t="s">
        <v>284</v>
      </c>
      <c r="C20" s="122" t="s">
        <v>116</v>
      </c>
      <c r="D20" s="122" t="s">
        <v>329</v>
      </c>
      <c r="E20" s="122" t="s">
        <v>482</v>
      </c>
      <c r="F20" s="119" t="s">
        <v>481</v>
      </c>
      <c r="G20" s="122" t="s">
        <v>113</v>
      </c>
      <c r="H20" s="122">
        <v>25</v>
      </c>
      <c r="I20" s="111" t="str">
        <f t="shared" ref="I20" si="51">IF(H20&lt;=0,"",IF(H20&lt;=2,"Muy Baja",IF(H20&lt;=24,"Baja",IF(H20&lt;=500,"Media",IF(H20&lt;=5000,"Alta","Muy Alta")))))</f>
        <v>Media</v>
      </c>
      <c r="J20" s="219">
        <f t="shared" ref="J20" si="52">IF(I20="","",IF(I20="Muy Baja",0.2,IF(I20="Baja",0.4,IF(I20="Media",0.6,IF(I20="Alta",0.8,IF(I20="Muy Alta",1,))))))</f>
        <v>0.6</v>
      </c>
      <c r="K20" s="121" t="s">
        <v>89</v>
      </c>
      <c r="L20" s="141" t="s">
        <v>138</v>
      </c>
      <c r="M20" s="219" t="str">
        <f ca="1">IF(NOT(ISERROR(MATCH(L20,_xlfn.ANCHORARRAY(#REF!),0))),#REF!&amp;"Por favor no seleccionar los criterios de impacto",L20)</f>
        <v xml:space="preserve">     El riesgo afecta la imagen de de la entidad con efecto publicitario sostenido a nivel de sector administrativo, nivel departamental o municipal</v>
      </c>
      <c r="N20" s="228" t="str">
        <f ca="1">IF(OR(M20='[2]Tabla Impacto'!$C$11,M20='[2]Tabla Impacto'!$D$11),"Leve",IF(OR(M20='[2]Tabla Impacto'!$C$12,M20='[2]Tabla Impacto'!$D$12),"Menor",IF(OR(M20='[2]Tabla Impacto'!$C$13,M20='[2]Tabla Impacto'!$D$13),"Moderado",IF(OR(M20='[2]Tabla Impacto'!$C$14,M20='[2]Tabla Impacto'!$D$14),"Mayor",IF(OR(M20='[2]Tabla Impacto'!$C$15,M20='[2]Tabla Impacto'!$D$15),"Catastrófico","")))))</f>
        <v>Mayor</v>
      </c>
      <c r="O20" s="219">
        <f t="shared" ref="O20" ca="1" si="53">IF(N20="","",IF(N20="Leve",0.2,IF(N20="Menor",0.4,IF(N20="Moderado",0.6,IF(N20="Mayor",0.8,IF(N20="Catastrófico",1,))))))</f>
        <v>0.8</v>
      </c>
      <c r="P20" s="218" t="str">
        <f t="shared" ref="P20" ca="1" si="54">IF(OR(AND(I20="Muy Baja",N20="Leve"),AND(I20="Muy Baja",N20="Menor"),AND(I20="Baja",N20="Leve")),"Bajo",IF(OR(AND(I20="Muy baja",N20="Moderado"),AND(I20="Baja",N20="Menor"),AND(I20="Baja",N20="Moderado"),AND(I20="Media",N20="Leve"),AND(I20="Media",N20="Menor"),AND(I20="Media",N20="Moderado"),AND(I20="Alta",N20="Leve"),AND(I20="Alta",N20="Menor")),"Moderado",IF(OR(AND(I20="Muy Baja",N20="Mayor"),AND(I20="Baja",N20="Mayor"),AND(I20="Media",N20="Mayor"),AND(I20="Alta",N20="Moderado"),AND(I20="Alta",N20="Mayor"),AND(I20="Muy Alta",N20="Leve"),AND(I20="Muy Alta",N20="Menor"),AND(I20="Muy Alta",N20="Moderado"),AND(I20="Muy Alta",N20="Mayor")),"Alto",IF(OR(AND(I20="Muy Baja",N20="Catastrófico"),AND(I20="Baja",N20="Catastrófico"),AND(I20="Media",N20="Catastrófico"),AND(I20="Alta",N20="Catastrófico"),AND(I20="Muy Alta",N20="Catastrófico")),"Extremo",""))))</f>
        <v>Alto</v>
      </c>
      <c r="Q20" s="110">
        <v>1</v>
      </c>
      <c r="R20" s="122" t="s">
        <v>484</v>
      </c>
      <c r="S20" s="102" t="str">
        <f t="shared" si="25"/>
        <v>Probabilidad</v>
      </c>
      <c r="T20" s="215" t="s">
        <v>13</v>
      </c>
      <c r="U20" s="215" t="s">
        <v>8</v>
      </c>
      <c r="V20" s="121" t="str">
        <f t="shared" si="26"/>
        <v>40%</v>
      </c>
      <c r="W20" s="215" t="s">
        <v>18</v>
      </c>
      <c r="X20" s="215" t="s">
        <v>21</v>
      </c>
      <c r="Y20" s="215" t="s">
        <v>104</v>
      </c>
      <c r="Z20" s="103">
        <f t="shared" si="47"/>
        <v>0.36</v>
      </c>
      <c r="AA20" s="92" t="str">
        <f t="shared" si="48"/>
        <v>Baja</v>
      </c>
      <c r="AB20" s="219">
        <f t="shared" si="4"/>
        <v>0.36</v>
      </c>
      <c r="AC20" s="92" t="str">
        <f t="shared" ca="1" si="49"/>
        <v>Mayor</v>
      </c>
      <c r="AD20" s="219">
        <f t="shared" ca="1" si="50"/>
        <v>0.8</v>
      </c>
      <c r="AE20" s="104" t="str">
        <f t="shared" ca="1" si="5"/>
        <v>Alto</v>
      </c>
      <c r="AF20" s="220" t="s">
        <v>120</v>
      </c>
      <c r="AG20" s="122" t="s">
        <v>487</v>
      </c>
      <c r="AH20" s="142">
        <v>44593</v>
      </c>
      <c r="AI20" s="142">
        <v>44926</v>
      </c>
      <c r="AJ20" s="119" t="s">
        <v>40</v>
      </c>
      <c r="AK20" s="119" t="s">
        <v>40</v>
      </c>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row>
    <row r="21" spans="1:65" ht="158.25" customHeight="1" x14ac:dyDescent="0.25">
      <c r="A21" s="236">
        <v>10</v>
      </c>
      <c r="B21" s="194" t="s">
        <v>285</v>
      </c>
      <c r="C21" s="122" t="s">
        <v>116</v>
      </c>
      <c r="D21" s="234" t="s">
        <v>488</v>
      </c>
      <c r="E21" s="234" t="s">
        <v>489</v>
      </c>
      <c r="F21" s="234" t="s">
        <v>490</v>
      </c>
      <c r="G21" s="119" t="s">
        <v>108</v>
      </c>
      <c r="H21" s="122">
        <v>15</v>
      </c>
      <c r="I21" s="111" t="str">
        <f>IF(H21&lt;=0,"",IF(H21&lt;=2,"Muy Baja",IF(H21&lt;=24,"Baja",IF(H21&lt;=500,"Media",IF(H21&lt;=5000,"Alta","Muy Alta")))))</f>
        <v>Baja</v>
      </c>
      <c r="J21" s="219">
        <f>IF(I21="","",IF(I21="Muy Baja",0.2,IF(I21="Baja",0.4,IF(I21="Media",0.6,IF(I21="Alta",0.8,IF(I21="Muy Alta",1,))))))</f>
        <v>0.4</v>
      </c>
      <c r="K21" s="121" t="s">
        <v>88</v>
      </c>
      <c r="L21" s="141" t="s">
        <v>138</v>
      </c>
      <c r="M21" s="219" t="str">
        <f ca="1">IF(NOT(ISERROR(MATCH(L21,'Tabla Impacto.'!$A$220:$A$222,0))),'Tabla Impacto.'!$E$222&amp;"Por favor no seleccionar los criterios de impacto(Afectación Económica o presupuestal y Pérdida Reputacional)",L21)</f>
        <v xml:space="preserve">     El riesgo afecta la imagen de de la entidad con efecto publicitario sostenido a nivel de sector administrativo, nivel departamental o municipal</v>
      </c>
      <c r="N21" s="229" t="str">
        <f ca="1">IF(OR(M21='[2]Tabla Impacto'!$C$11,M21='[2]Tabla Impacto'!$D$11),"Leve",IF(OR(M21='[2]Tabla Impacto'!$C$12,M21='[2]Tabla Impacto'!$D$12),"Menor",IF(OR(M21='[2]Tabla Impacto'!$C$13,M21='[2]Tabla Impacto'!$D$13),"Moderado",IF(OR(M21='[2]Tabla Impacto'!$C$14,M21='[2]Tabla Impacto'!$D$14),"Mayor",IF(OR(M21='[2]Tabla Impacto'!$C$15,M21='[2]Tabla Impacto'!$D$15),"Catastrófico","")))))</f>
        <v>Mayor</v>
      </c>
      <c r="O21" s="219">
        <f t="shared" ca="1" si="45"/>
        <v>0.8</v>
      </c>
      <c r="P21" s="218" t="str">
        <f t="shared" ca="1" si="46"/>
        <v>Alto</v>
      </c>
      <c r="Q21" s="110">
        <v>1</v>
      </c>
      <c r="R21" s="221" t="s">
        <v>491</v>
      </c>
      <c r="S21" s="102" t="str">
        <f t="shared" ref="S21" si="55">IF(OR(T21="Preventivo",T21="Detectivo"),"Probabilidad",IF(T21="Correctivo","Impacto",""))</f>
        <v>Probabilidad</v>
      </c>
      <c r="T21" s="215" t="s">
        <v>13</v>
      </c>
      <c r="U21" s="215" t="s">
        <v>8</v>
      </c>
      <c r="V21" s="121" t="str">
        <f t="shared" ref="V21" si="56">IF(AND(T21="Preventivo",U21="Automático"),"50%",IF(AND(T21="Preventivo",U21="Manual"),"40%",IF(AND(T21="Detectivo",U21="Automático"),"40%",IF(AND(T21="Detectivo",U21="Manual"),"30%",IF(AND(T21="Correctivo",U21="Automático"),"35%",IF(AND(T21="Correctivo",U21="Manual"),"25%",""))))))</f>
        <v>40%</v>
      </c>
      <c r="W21" s="215" t="s">
        <v>18</v>
      </c>
      <c r="X21" s="215" t="s">
        <v>21</v>
      </c>
      <c r="Y21" s="215" t="s">
        <v>104</v>
      </c>
      <c r="Z21" s="103">
        <f t="shared" ref="Z21" si="57">IFERROR(IF(S21="Probabilidad",(J21-(+J21*V21)),IF(S21="Impacto",J21,"")),"")</f>
        <v>0.24</v>
      </c>
      <c r="AA21" s="92" t="str">
        <f t="shared" ref="AA21" si="58">IFERROR(IF(Z21="","",IF(Z21&lt;=0.2,"Muy Baja",IF(Z21&lt;=0.4,"Baja",IF(Z21&lt;=0.6,"Media",IF(Z21&lt;=0.8,"Alta","Muy Alta"))))),"")</f>
        <v>Baja</v>
      </c>
      <c r="AB21" s="219">
        <f t="shared" ref="AB21" si="59">+Z21</f>
        <v>0.24</v>
      </c>
      <c r="AC21" s="92" t="str">
        <f t="shared" ref="AC21" ca="1" si="60">IFERROR(IF(AD21="","",IF(AD21&lt;=0.2,"Leve",IF(AD21&lt;=0.4,"Menor",IF(AD21&lt;=0.6,"Moderado",IF(AD21&lt;=0.8,"Mayor","Catastrófico"))))),"")</f>
        <v>Mayor</v>
      </c>
      <c r="AD21" s="219">
        <f t="shared" ref="AD21" ca="1" si="61">IFERROR(IF(S21="Impacto",(O21-(+O21*V21)),IF(S21="Probabilidad",O21,"")),"")</f>
        <v>0.8</v>
      </c>
      <c r="AE21" s="104" t="str">
        <f t="shared" ref="AE21" ca="1" si="62">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Alto</v>
      </c>
      <c r="AF21" s="220" t="s">
        <v>120</v>
      </c>
      <c r="AG21" s="221" t="s">
        <v>492</v>
      </c>
      <c r="AH21" s="142">
        <v>44593</v>
      </c>
      <c r="AI21" s="142">
        <v>44926</v>
      </c>
      <c r="AJ21" s="119" t="s">
        <v>40</v>
      </c>
      <c r="AK21" s="119" t="s">
        <v>40</v>
      </c>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row>
    <row r="22" spans="1:65" ht="101.25" customHeight="1" x14ac:dyDescent="0.25">
      <c r="A22" s="236">
        <v>11</v>
      </c>
      <c r="B22" s="194" t="s">
        <v>286</v>
      </c>
      <c r="C22" s="122" t="s">
        <v>118</v>
      </c>
      <c r="D22" s="119" t="s">
        <v>291</v>
      </c>
      <c r="E22" s="119" t="s">
        <v>292</v>
      </c>
      <c r="F22" s="119" t="s">
        <v>293</v>
      </c>
      <c r="G22" s="119" t="s">
        <v>108</v>
      </c>
      <c r="H22" s="122">
        <v>140</v>
      </c>
      <c r="I22" s="111" t="str">
        <f>IF(H22&lt;=0,"",IF(H22&lt;=2,"Muy Baja",IF(H22&lt;=24,"Baja",IF(H22&lt;=500,"Media",IF(H22&lt;=5000,"Alta","Muy Alta")))))</f>
        <v>Media</v>
      </c>
      <c r="J22" s="219">
        <f>IF(I22="","",IF(I22="Muy Baja",0.2,IF(I22="Baja",0.4,IF(I22="Media",0.6,IF(I22="Alta",0.8,IF(I22="Muy Alta",1,))))))</f>
        <v>0.6</v>
      </c>
      <c r="K22" s="121" t="s">
        <v>89</v>
      </c>
      <c r="L22" s="210" t="s">
        <v>137</v>
      </c>
      <c r="M22" s="219" t="str">
        <f>IF(NOT(ISERROR(MATCH(L22,'[3]Tabla Impacto'!$B$221:$B$223,0))),'[3]Tabla Impacto'!$F$223&amp;"Por favor no seleccionar los criterios de impacto(Afectación Económica o presupuestal y Pérdida Reputacional)",L22)</f>
        <v xml:space="preserve">     El riesgo afecta la imagen de la entidad con algunos usuarios de relevancia frente al logro de los objetivos</v>
      </c>
      <c r="N22" s="228" t="str">
        <f>IF(OR(M22='[2]Tabla Impacto'!$C$11,M22='[2]Tabla Impacto'!$D$11),"Leve",IF(OR(M22='[2]Tabla Impacto'!$C$12,M22='[2]Tabla Impacto'!$D$12),"Menor",IF(OR(M22='[2]Tabla Impacto'!$C$13,M22='[2]Tabla Impacto'!$D$13),"Moderado",IF(OR(M22='[2]Tabla Impacto'!$C$14,M22='[2]Tabla Impacto'!$D$14),"Mayor",IF(OR(M22='[2]Tabla Impacto'!$C$15,M22='[2]Tabla Impacto'!$D$15),"Catastrófico","")))))</f>
        <v>Moderado</v>
      </c>
      <c r="O22" s="219">
        <f t="shared" si="45"/>
        <v>0.6</v>
      </c>
      <c r="P22" s="218" t="str">
        <f t="shared" si="46"/>
        <v>Moderado</v>
      </c>
      <c r="Q22" s="110">
        <v>1</v>
      </c>
      <c r="R22" s="119" t="s">
        <v>322</v>
      </c>
      <c r="S22" s="102" t="str">
        <f t="shared" ref="S22" si="63">IF(OR(T22="Preventivo",T22="Detectivo"),"Probabilidad",IF(T22="Correctivo","Impacto",""))</f>
        <v>Probabilidad</v>
      </c>
      <c r="T22" s="215" t="s">
        <v>13</v>
      </c>
      <c r="U22" s="215" t="s">
        <v>8</v>
      </c>
      <c r="V22" s="121" t="str">
        <f t="shared" ref="V22" si="64">IF(AND(T22="Preventivo",U22="Automático"),"50%",IF(AND(T22="Preventivo",U22="Manual"),"40%",IF(AND(T22="Detectivo",U22="Automático"),"40%",IF(AND(T22="Detectivo",U22="Manual"),"30%",IF(AND(T22="Correctivo",U22="Automático"),"35%",IF(AND(T22="Correctivo",U22="Manual"),"25%",""))))))</f>
        <v>40%</v>
      </c>
      <c r="W22" s="215" t="s">
        <v>18</v>
      </c>
      <c r="X22" s="215" t="s">
        <v>21</v>
      </c>
      <c r="Y22" s="215" t="s">
        <v>104</v>
      </c>
      <c r="Z22" s="103">
        <f t="shared" ref="Z22" si="65">IFERROR(IF(S22="Probabilidad",(J22-(+J22*V22)),IF(S22="Impacto",J22,"")),"")</f>
        <v>0.36</v>
      </c>
      <c r="AA22" s="92" t="str">
        <f t="shared" ref="AA22" si="66">IFERROR(IF(Z22="","",IF(Z22&lt;=0.2,"Muy Baja",IF(Z22&lt;=0.4,"Baja",IF(Z22&lt;=0.6,"Media",IF(Z22&lt;=0.8,"Alta","Muy Alta"))))),"")</f>
        <v>Baja</v>
      </c>
      <c r="AB22" s="219">
        <f t="shared" ref="AB22" si="67">+Z22</f>
        <v>0.36</v>
      </c>
      <c r="AC22" s="92" t="str">
        <f t="shared" ref="AC22:AC38" si="68">IFERROR(IF(AD22="","",IF(AD22&lt;=0.2,"Leve",IF(AD22&lt;=0.4,"Menor",IF(AD22&lt;=0.6,"Moderado",IF(AD22&lt;=0.8,"Mayor","Catastrófico"))))),"")</f>
        <v>Moderado</v>
      </c>
      <c r="AD22" s="219">
        <f t="shared" ref="AD22" si="69">IFERROR(IF(S22="Impacto",(O22-(+O22*V22)),IF(S22="Probabilidad",O22,"")),"")</f>
        <v>0.6</v>
      </c>
      <c r="AE22" s="104" t="str">
        <f t="shared" ref="AE22" si="70">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Moderado</v>
      </c>
      <c r="AF22" s="220" t="s">
        <v>120</v>
      </c>
      <c r="AG22" s="119" t="s">
        <v>418</v>
      </c>
      <c r="AH22" s="142">
        <v>44593</v>
      </c>
      <c r="AI22" s="142">
        <v>44926</v>
      </c>
      <c r="AJ22" s="119" t="s">
        <v>40</v>
      </c>
      <c r="AK22" s="119" t="s">
        <v>40</v>
      </c>
      <c r="AL22" s="222"/>
      <c r="AM22" s="222"/>
      <c r="AN22" s="222"/>
      <c r="AO22" s="222"/>
      <c r="AP22" s="227"/>
    </row>
    <row r="23" spans="1:65" ht="101.25" customHeight="1" x14ac:dyDescent="0.25">
      <c r="A23" s="236">
        <v>11</v>
      </c>
      <c r="B23" s="194" t="s">
        <v>286</v>
      </c>
      <c r="C23" s="122" t="s">
        <v>118</v>
      </c>
      <c r="D23" s="119" t="s">
        <v>291</v>
      </c>
      <c r="E23" s="119" t="s">
        <v>292</v>
      </c>
      <c r="F23" s="119" t="s">
        <v>293</v>
      </c>
      <c r="G23" s="119" t="s">
        <v>108</v>
      </c>
      <c r="H23" s="122">
        <v>140</v>
      </c>
      <c r="I23" s="111" t="str">
        <f t="shared" ref="I23:I25" si="71">IF(H23&lt;=0,"",IF(H23&lt;=2,"Muy Baja",IF(H23&lt;=24,"Baja",IF(H23&lt;=500,"Media",IF(H23&lt;=5000,"Alta","Muy Alta")))))</f>
        <v>Media</v>
      </c>
      <c r="J23" s="219">
        <f t="shared" ref="J23:J25" si="72">IF(I23="","",IF(I23="Muy Baja",0.2,IF(I23="Baja",0.4,IF(I23="Media",0.6,IF(I23="Alta",0.8,IF(I23="Muy Alta",1,))))))</f>
        <v>0.6</v>
      </c>
      <c r="K23" s="121" t="s">
        <v>89</v>
      </c>
      <c r="L23" s="210" t="s">
        <v>137</v>
      </c>
      <c r="M23" s="219" t="str">
        <f ca="1">IF(NOT(ISERROR(MATCH(L23,'Tabla Impacto.'!$A$220:$A$222,0))),'Tabla Impacto.'!$E$222&amp;"Por favor no seleccionar los criterios de impacto(Afectación Económica o presupuestal y Pérdida Reputacional)",L23)</f>
        <v xml:space="preserve">     El riesgo afecta la imagen de la entidad con algunos usuarios de relevancia frente al logro de los objetivos</v>
      </c>
      <c r="N23" s="111"/>
      <c r="O23" s="219"/>
      <c r="P23" s="218"/>
      <c r="Q23" s="110">
        <v>2</v>
      </c>
      <c r="R23" s="119" t="s">
        <v>304</v>
      </c>
      <c r="S23" s="102" t="str">
        <f t="shared" si="25"/>
        <v>Probabilidad</v>
      </c>
      <c r="T23" s="215" t="s">
        <v>13</v>
      </c>
      <c r="U23" s="215" t="s">
        <v>8</v>
      </c>
      <c r="V23" s="121" t="str">
        <f t="shared" si="26"/>
        <v>40%</v>
      </c>
      <c r="W23" s="215" t="s">
        <v>18</v>
      </c>
      <c r="X23" s="215" t="s">
        <v>21</v>
      </c>
      <c r="Y23" s="215" t="s">
        <v>104</v>
      </c>
      <c r="Z23" s="103">
        <f>IFERROR(IF(AND(S21="Probabilidad",S23="Probabilidad"),(AB21-(+AB21*V23)),IF(S23="Probabilidad",(J21-(+J21*V23)),IF(S23="Impacto",AB21,""))),"")</f>
        <v>0.14399999999999999</v>
      </c>
      <c r="AA23" s="92" t="str">
        <f t="shared" ref="AA23:AA24" si="73">IFERROR(IF(Z23="","",IF(Z23&lt;=0.2,"Muy Baja",IF(Z23&lt;=0.4,"Baja",IF(Z23&lt;=0.6,"Media",IF(Z23&lt;=0.8,"Alta","Muy Alta"))))),"")</f>
        <v>Muy Baja</v>
      </c>
      <c r="AB23" s="219">
        <f t="shared" ref="AB23:AB24" si="74">+Z23</f>
        <v>0.14399999999999999</v>
      </c>
      <c r="AC23" s="92" t="str">
        <f t="shared" ref="AC23:AC24" ca="1" si="75">IFERROR(IF(AD23="","",IF(AD23&lt;=0.2,"Leve",IF(AD23&lt;=0.4,"Menor",IF(AD23&lt;=0.6,"Moderado",IF(AD23&lt;=0.8,"Mayor","Catastrófico"))))),"")</f>
        <v>Mayor</v>
      </c>
      <c r="AD23" s="219">
        <f ca="1">IFERROR(IF(AND(S21="Impacto",S23="Impacto"),(AD21-(+AD21*V23)),IF(AND(S21="Probabilidad",S23="Impacto"),(#REF!-(+#REF!*V23)),IF(S23="Probabilidad",AD21,""))),"")</f>
        <v>0.8</v>
      </c>
      <c r="AE23" s="104" t="str">
        <f t="shared" ref="AE23:AE24" ca="1" si="76">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Alto</v>
      </c>
      <c r="AF23" s="220" t="s">
        <v>120</v>
      </c>
      <c r="AG23" s="119" t="s">
        <v>418</v>
      </c>
      <c r="AH23" s="142">
        <v>44593</v>
      </c>
      <c r="AI23" s="142">
        <v>44926</v>
      </c>
      <c r="AJ23" s="119" t="s">
        <v>40</v>
      </c>
      <c r="AK23" s="119" t="s">
        <v>40</v>
      </c>
      <c r="AL23" s="222"/>
      <c r="AM23" s="222"/>
      <c r="AN23" s="222"/>
      <c r="AO23" s="222"/>
      <c r="AP23" s="227"/>
    </row>
    <row r="24" spans="1:65" ht="99.95" customHeight="1" x14ac:dyDescent="0.25">
      <c r="A24" s="236">
        <v>11</v>
      </c>
      <c r="B24" s="194" t="s">
        <v>286</v>
      </c>
      <c r="C24" s="122" t="s">
        <v>118</v>
      </c>
      <c r="D24" s="119" t="s">
        <v>291</v>
      </c>
      <c r="E24" s="119" t="s">
        <v>292</v>
      </c>
      <c r="F24" s="119" t="s">
        <v>293</v>
      </c>
      <c r="G24" s="119" t="s">
        <v>108</v>
      </c>
      <c r="H24" s="122">
        <v>140</v>
      </c>
      <c r="I24" s="111" t="str">
        <f t="shared" si="71"/>
        <v>Media</v>
      </c>
      <c r="J24" s="219">
        <f t="shared" si="72"/>
        <v>0.6</v>
      </c>
      <c r="K24" s="121" t="s">
        <v>89</v>
      </c>
      <c r="L24" s="210" t="s">
        <v>137</v>
      </c>
      <c r="M24" s="219" t="str">
        <f ca="1">IF(NOT(ISERROR(MATCH(L24,'Tabla Impacto.'!$A$220:$A$222,0))),'Tabla Impacto.'!$E$222&amp;"Por favor no seleccionar los criterios de impacto(Afectación Económica o presupuestal y Pérdida Reputacional)",L24)</f>
        <v xml:space="preserve">     El riesgo afecta la imagen de la entidad con algunos usuarios de relevancia frente al logro de los objetivos</v>
      </c>
      <c r="N24" s="111"/>
      <c r="O24" s="219"/>
      <c r="P24" s="218"/>
      <c r="Q24" s="110">
        <v>3</v>
      </c>
      <c r="R24" s="119" t="s">
        <v>303</v>
      </c>
      <c r="S24" s="102" t="str">
        <f t="shared" si="25"/>
        <v>Probabilidad</v>
      </c>
      <c r="T24" s="215" t="s">
        <v>13</v>
      </c>
      <c r="U24" s="215" t="s">
        <v>8</v>
      </c>
      <c r="V24" s="121" t="str">
        <f t="shared" si="26"/>
        <v>40%</v>
      </c>
      <c r="W24" s="215" t="s">
        <v>18</v>
      </c>
      <c r="X24" s="215" t="s">
        <v>21</v>
      </c>
      <c r="Y24" s="215" t="s">
        <v>104</v>
      </c>
      <c r="Z24" s="103">
        <f>IFERROR(IF(AND(S23="Probabilidad",S24="Probabilidad"),(AB23-(+AB23*V24)),IF(S24="Probabilidad",(J23-(+J23*V24)),IF(S24="Impacto",AB23,""))),"")</f>
        <v>8.6399999999999991E-2</v>
      </c>
      <c r="AA24" s="92" t="str">
        <f t="shared" si="73"/>
        <v>Muy Baja</v>
      </c>
      <c r="AB24" s="219">
        <f t="shared" si="74"/>
        <v>8.6399999999999991E-2</v>
      </c>
      <c r="AC24" s="92" t="str">
        <f t="shared" ca="1" si="75"/>
        <v>Mayor</v>
      </c>
      <c r="AD24" s="219">
        <f ca="1">IFERROR(IF(AND(S23="Impacto",S24="Impacto"),(AD23-(+AD23*V24)),IF(AND(S23="Probabilidad",S24="Impacto"),(AD21-(+AD21*V24)),IF(S24="Probabilidad",AD23,""))),"")</f>
        <v>0.8</v>
      </c>
      <c r="AE24" s="104" t="str">
        <f t="shared" ca="1" si="76"/>
        <v>Alto</v>
      </c>
      <c r="AF24" s="220" t="s">
        <v>120</v>
      </c>
      <c r="AG24" s="119" t="s">
        <v>418</v>
      </c>
      <c r="AH24" s="142">
        <v>44593</v>
      </c>
      <c r="AI24" s="142">
        <v>44926</v>
      </c>
      <c r="AJ24" s="119" t="s">
        <v>40</v>
      </c>
      <c r="AK24" s="119" t="s">
        <v>40</v>
      </c>
      <c r="AL24" s="222"/>
      <c r="AM24" s="222"/>
      <c r="AN24" s="222"/>
      <c r="AO24" s="222"/>
      <c r="AP24" s="227"/>
    </row>
    <row r="25" spans="1:65" ht="99.95" customHeight="1" x14ac:dyDescent="0.25">
      <c r="A25" s="236">
        <v>11</v>
      </c>
      <c r="B25" s="194" t="s">
        <v>286</v>
      </c>
      <c r="C25" s="122" t="s">
        <v>118</v>
      </c>
      <c r="D25" s="119" t="s">
        <v>291</v>
      </c>
      <c r="E25" s="119" t="s">
        <v>292</v>
      </c>
      <c r="F25" s="119" t="s">
        <v>293</v>
      </c>
      <c r="G25" s="119" t="s">
        <v>108</v>
      </c>
      <c r="H25" s="122">
        <v>140</v>
      </c>
      <c r="I25" s="111" t="str">
        <f t="shared" si="71"/>
        <v>Media</v>
      </c>
      <c r="J25" s="219">
        <f t="shared" si="72"/>
        <v>0.6</v>
      </c>
      <c r="K25" s="121" t="s">
        <v>89</v>
      </c>
      <c r="L25" s="210" t="s">
        <v>137</v>
      </c>
      <c r="M25" s="219" t="str">
        <f ca="1">IF(NOT(ISERROR(MATCH(L25,'Tabla Impacto.'!$A$220:$A$222,0))),'Tabla Impacto.'!$E$222&amp;"Por favor no seleccionar los criterios de impacto(Afectación Económica o presupuestal y Pérdida Reputacional)",L25)</f>
        <v xml:space="preserve">     El riesgo afecta la imagen de la entidad con algunos usuarios de relevancia frente al logro de los objetivos</v>
      </c>
      <c r="N25" s="111"/>
      <c r="O25" s="219"/>
      <c r="P25" s="218"/>
      <c r="Q25" s="110">
        <v>4</v>
      </c>
      <c r="R25" s="119" t="s">
        <v>302</v>
      </c>
      <c r="S25" s="102" t="str">
        <f t="shared" si="25"/>
        <v>Probabilidad</v>
      </c>
      <c r="T25" s="215" t="s">
        <v>13</v>
      </c>
      <c r="U25" s="215" t="s">
        <v>8</v>
      </c>
      <c r="V25" s="121" t="str">
        <f t="shared" si="26"/>
        <v>40%</v>
      </c>
      <c r="W25" s="215" t="s">
        <v>18</v>
      </c>
      <c r="X25" s="215" t="s">
        <v>21</v>
      </c>
      <c r="Y25" s="215" t="s">
        <v>104</v>
      </c>
      <c r="Z25" s="103">
        <f>IFERROR(IF(AND(S24="Probabilidad",S25="Probabilidad"),(AB24-(+AB24*V25)),IF(S25="Probabilidad",(J24-(+J24*V25)),IF(S25="Impacto",AB24,""))),"")</f>
        <v>5.183999999999999E-2</v>
      </c>
      <c r="AA25" s="92" t="str">
        <f t="shared" ref="AA25:AA26" si="77">IFERROR(IF(Z25="","",IF(Z25&lt;=0.2,"Muy Baja",IF(Z25&lt;=0.4,"Baja",IF(Z25&lt;=0.6,"Media",IF(Z25&lt;=0.8,"Alta","Muy Alta"))))),"")</f>
        <v>Muy Baja</v>
      </c>
      <c r="AB25" s="219">
        <f t="shared" ref="AB25:AB26" si="78">+Z25</f>
        <v>5.183999999999999E-2</v>
      </c>
      <c r="AC25" s="92" t="str">
        <f t="shared" ca="1" si="68"/>
        <v>Mayor</v>
      </c>
      <c r="AD25" s="219">
        <f ca="1">IFERROR(IF(AND(S24="Impacto",S25="Impacto"),(AD24-(+AD24*V25)),IF(AND(S24="Probabilidad",S25="Impacto"),(AD22-(+AD22*V25)),IF(S25="Probabilidad",AD24,""))),"")</f>
        <v>0.8</v>
      </c>
      <c r="AE25" s="104" t="str">
        <f t="shared" ca="1" si="5"/>
        <v>Alto</v>
      </c>
      <c r="AF25" s="220" t="s">
        <v>120</v>
      </c>
      <c r="AG25" s="119" t="s">
        <v>418</v>
      </c>
      <c r="AH25" s="142">
        <v>44593</v>
      </c>
      <c r="AI25" s="142">
        <v>44926</v>
      </c>
      <c r="AJ25" s="119" t="s">
        <v>40</v>
      </c>
      <c r="AK25" s="119" t="s">
        <v>40</v>
      </c>
      <c r="AL25" s="222"/>
      <c r="AM25" s="222"/>
      <c r="AN25" s="222"/>
      <c r="AO25" s="222"/>
      <c r="AP25" s="222"/>
    </row>
    <row r="26" spans="1:65" ht="153" customHeight="1" x14ac:dyDescent="0.25">
      <c r="A26" s="236">
        <v>12</v>
      </c>
      <c r="B26" s="194" t="s">
        <v>278</v>
      </c>
      <c r="C26" s="223" t="s">
        <v>118</v>
      </c>
      <c r="D26" s="109" t="s">
        <v>262</v>
      </c>
      <c r="E26" s="109" t="s">
        <v>420</v>
      </c>
      <c r="F26" s="109" t="s">
        <v>421</v>
      </c>
      <c r="G26" s="109" t="s">
        <v>108</v>
      </c>
      <c r="H26" s="122">
        <v>246</v>
      </c>
      <c r="I26" s="111" t="str">
        <f t="shared" ref="I26:I44" si="79">IF(H26&lt;=0,"",IF(H26&lt;=2,"Muy Baja",IF(H26&lt;=24,"Baja",IF(H26&lt;=500,"Media",IF(H26&lt;=5000,"Alta","Muy Alta")))))</f>
        <v>Media</v>
      </c>
      <c r="J26" s="219">
        <f t="shared" ref="J26:J44" si="80">IF(I26="","",IF(I26="Muy Baja",0.2,IF(I26="Baja",0.4,IF(I26="Media",0.6,IF(I26="Alta",0.8,IF(I26="Muy Alta",1,))))))</f>
        <v>0.6</v>
      </c>
      <c r="K26" s="121" t="s">
        <v>89</v>
      </c>
      <c r="L26" s="210" t="s">
        <v>138</v>
      </c>
      <c r="M26" s="219" t="str">
        <f ca="1">IF(NOT(ISERROR(MATCH(L26,'Tabla Impacto.'!$A$220:$A$222,0))),'Tabla Impacto.'!$E$222&amp;"Por favor no seleccionar los criterios de impacto(Afectación Económica o presupuestal y Pérdida Reputacional)",L26)</f>
        <v xml:space="preserve">     El riesgo afecta la imagen de de la entidad con efecto publicitario sostenido a nivel de sector administrativo, nivel departamental o municipal</v>
      </c>
      <c r="N26" s="120" t="str">
        <f ca="1">IF(OR(M26='[2]Tabla Impacto'!$C$11,M26='[2]Tabla Impacto'!$D$11),"Leve",IF(OR(M26='[2]Tabla Impacto'!$C$12,M26='[2]Tabla Impacto'!$D$12),"Menor",IF(OR(M26='[2]Tabla Impacto'!$C$13,M26='[2]Tabla Impacto'!$D$13),"Moderado",IF(OR(M26='[2]Tabla Impacto'!$C$14,M26='[2]Tabla Impacto'!$D$14),"Mayor",IF(OR(M26='[2]Tabla Impacto'!$C$15,M26='[2]Tabla Impacto'!$D$15),"Catastrófico","")))))</f>
        <v>Mayor</v>
      </c>
      <c r="O26" s="219">
        <f t="shared" ref="O26" ca="1" si="81">IF(N26="","",IF(N26="Leve",0.2,IF(N26="Menor",0.4,IF(N26="Moderado",0.6,IF(N26="Mayor",0.8,IF(N26="Catastrófico",1,))))))</f>
        <v>0.8</v>
      </c>
      <c r="P26" s="218" t="str">
        <f t="shared" ref="P26" ca="1" si="82">IF(OR(AND(I26="Muy Baja",N26="Leve"),AND(I26="Muy Baja",N26="Menor"),AND(I26="Baja",N26="Leve")),"Bajo",IF(OR(AND(I26="Muy baja",N26="Moderado"),AND(I26="Baja",N26="Menor"),AND(I26="Baja",N26="Moderado"),AND(I26="Media",N26="Leve"),AND(I26="Media",N26="Menor"),AND(I26="Media",N26="Moderado"),AND(I26="Alta",N26="Leve"),AND(I26="Alta",N26="Menor")),"Moderado",IF(OR(AND(I26="Muy Baja",N26="Mayor"),AND(I26="Baja",N26="Mayor"),AND(I26="Media",N26="Mayor"),AND(I26="Alta",N26="Moderado"),AND(I26="Alta",N26="Mayor"),AND(I26="Muy Alta",N26="Leve"),AND(I26="Muy Alta",N26="Menor"),AND(I26="Muy Alta",N26="Moderado"),AND(I26="Muy Alta",N26="Mayor")),"Alto",IF(OR(AND(I26="Muy Baja",N26="Catastrófico"),AND(I26="Baja",N26="Catastrófico"),AND(I26="Media",N26="Catastrófico"),AND(I26="Alta",N26="Catastrófico"),AND(I26="Muy Alta",N26="Catastrófico")),"Extremo",""))))</f>
        <v>Alto</v>
      </c>
      <c r="Q26" s="110">
        <v>1</v>
      </c>
      <c r="R26" s="119" t="s">
        <v>425</v>
      </c>
      <c r="S26" s="102" t="str">
        <f t="shared" ref="S26" si="83">IF(OR(T26="Preventivo",T26="Detectivo"),"Probabilidad",IF(T26="Correctivo","Impacto",""))</f>
        <v>Probabilidad</v>
      </c>
      <c r="T26" s="215" t="s">
        <v>13</v>
      </c>
      <c r="U26" s="215" t="s">
        <v>8</v>
      </c>
      <c r="V26" s="121" t="str">
        <f t="shared" ref="V26" si="84">IF(AND(T26="Preventivo",U26="Automático"),"50%",IF(AND(T26="Preventivo",U26="Manual"),"40%",IF(AND(T26="Detectivo",U26="Automático"),"40%",IF(AND(T26="Detectivo",U26="Manual"),"30%",IF(AND(T26="Correctivo",U26="Automático"),"35%",IF(AND(T26="Correctivo",U26="Manual"),"25%",""))))))</f>
        <v>40%</v>
      </c>
      <c r="W26" s="215" t="s">
        <v>18</v>
      </c>
      <c r="X26" s="215" t="s">
        <v>21</v>
      </c>
      <c r="Y26" s="215" t="s">
        <v>104</v>
      </c>
      <c r="Z26" s="103">
        <f t="shared" ref="Z26" si="85">IFERROR(IF(S26="Probabilidad",(J26-(+J26*V26)),IF(S26="Impacto",J26,"")),"")</f>
        <v>0.36</v>
      </c>
      <c r="AA26" s="92" t="str">
        <f t="shared" si="77"/>
        <v>Baja</v>
      </c>
      <c r="AB26" s="219">
        <f t="shared" si="78"/>
        <v>0.36</v>
      </c>
      <c r="AC26" s="92" t="str">
        <f t="shared" ca="1" si="68"/>
        <v>Mayor</v>
      </c>
      <c r="AD26" s="219">
        <f t="shared" ref="AD26" ca="1" si="86">IFERROR(IF(S26="Impacto",(O26-(+O26*V26)),IF(S26="Probabilidad",O26,"")),"")</f>
        <v>0.8</v>
      </c>
      <c r="AE26" s="104" t="str">
        <f t="shared" ref="AE26" ca="1" si="87">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Alto</v>
      </c>
      <c r="AF26" s="220" t="s">
        <v>120</v>
      </c>
      <c r="AG26" s="119" t="s">
        <v>422</v>
      </c>
      <c r="AH26" s="142">
        <v>44593</v>
      </c>
      <c r="AI26" s="142">
        <v>44926</v>
      </c>
      <c r="AJ26" s="119" t="s">
        <v>40</v>
      </c>
      <c r="AK26" s="119" t="s">
        <v>40</v>
      </c>
      <c r="AM26" s="216"/>
      <c r="AP26" s="227"/>
    </row>
    <row r="27" spans="1:65" ht="99.95" customHeight="1" x14ac:dyDescent="0.25">
      <c r="A27" s="236">
        <v>13</v>
      </c>
      <c r="B27" s="194" t="s">
        <v>277</v>
      </c>
      <c r="C27" s="122" t="s">
        <v>118</v>
      </c>
      <c r="D27" s="122" t="s">
        <v>423</v>
      </c>
      <c r="E27" s="119" t="s">
        <v>424</v>
      </c>
      <c r="F27" s="119" t="s">
        <v>500</v>
      </c>
      <c r="G27" s="119" t="s">
        <v>108</v>
      </c>
      <c r="H27" s="122">
        <v>246</v>
      </c>
      <c r="I27" s="111" t="str">
        <f t="shared" si="79"/>
        <v>Media</v>
      </c>
      <c r="J27" s="219">
        <f t="shared" si="80"/>
        <v>0.6</v>
      </c>
      <c r="K27" s="121" t="s">
        <v>89</v>
      </c>
      <c r="L27" s="210" t="s">
        <v>138</v>
      </c>
      <c r="M27" s="219" t="str">
        <f ca="1">IF(NOT(ISERROR(MATCH(L27,_xlfn.ANCHORARRAY(F57),0))),J59&amp;"Por favor no seleccionar los criterios de impacto",L27)</f>
        <v xml:space="preserve">     El riesgo afecta la imagen de de la entidad con efecto publicitario sostenido a nivel de sector administrativo, nivel departamental o municipal</v>
      </c>
      <c r="N27" s="120" t="str">
        <f ca="1">IF(OR(M27='[2]Tabla Impacto'!$C$11,M27='[2]Tabla Impacto'!$D$11),"Leve",IF(OR(M27='[2]Tabla Impacto'!$C$12,M27='[2]Tabla Impacto'!$D$12),"Menor",IF(OR(M27='[2]Tabla Impacto'!$C$13,M27='[2]Tabla Impacto'!$D$13),"Moderado",IF(OR(M27='[2]Tabla Impacto'!$C$14,M27='[2]Tabla Impacto'!$D$14),"Mayor",IF(OR(M27='[2]Tabla Impacto'!$C$15,M27='[2]Tabla Impacto'!$D$15),"Catastrófico","")))))</f>
        <v>Mayor</v>
      </c>
      <c r="O27" s="219">
        <f t="shared" ref="O27" ca="1" si="88">IF(N27="","",IF(N27="Leve",0.2,IF(N27="Menor",0.4,IF(N27="Moderado",0.6,IF(N27="Mayor",0.8,IF(N27="Catastrófico",1,))))))</f>
        <v>0.8</v>
      </c>
      <c r="P27" s="218" t="str">
        <f t="shared" ref="P27" ca="1" si="89">IF(OR(AND(I27="Muy Baja",N27="Leve"),AND(I27="Muy Baja",N27="Menor"),AND(I27="Baja",N27="Leve")),"Bajo",IF(OR(AND(I27="Muy baja",N27="Moderado"),AND(I27="Baja",N27="Menor"),AND(I27="Baja",N27="Moderado"),AND(I27="Media",N27="Leve"),AND(I27="Media",N27="Menor"),AND(I27="Media",N27="Moderado"),AND(I27="Alta",N27="Leve"),AND(I27="Alta",N27="Menor")),"Moderado",IF(OR(AND(I27="Muy Baja",N27="Mayor"),AND(I27="Baja",N27="Mayor"),AND(I27="Media",N27="Mayor"),AND(I27="Alta",N27="Moderado"),AND(I27="Alta",N27="Mayor"),AND(I27="Muy Alta",N27="Leve"),AND(I27="Muy Alta",N27="Menor"),AND(I27="Muy Alta",N27="Moderado"),AND(I27="Muy Alta",N27="Mayor")),"Alto",IF(OR(AND(I27="Muy Baja",N27="Catastrófico"),AND(I27="Baja",N27="Catastrófico"),AND(I27="Media",N27="Catastrófico"),AND(I27="Alta",N27="Catastrófico"),AND(I27="Muy Alta",N27="Catastrófico")),"Extremo",""))))</f>
        <v>Alto</v>
      </c>
      <c r="Q27" s="110">
        <v>1</v>
      </c>
      <c r="R27" s="119" t="s">
        <v>493</v>
      </c>
      <c r="S27" s="102" t="str">
        <f t="shared" ref="S27:S28" si="90">IF(OR(T27="Preventivo",T27="Detectivo"),"Probabilidad",IF(T27="Correctivo","Impacto",""))</f>
        <v>Probabilidad</v>
      </c>
      <c r="T27" s="215" t="s">
        <v>13</v>
      </c>
      <c r="U27" s="215" t="s">
        <v>8</v>
      </c>
      <c r="V27" s="121" t="str">
        <f t="shared" ref="V27" si="91">IF(AND(T27="Preventivo",U27="Automático"),"50%",IF(AND(T27="Preventivo",U27="Manual"),"40%",IF(AND(T27="Detectivo",U27="Automático"),"40%",IF(AND(T27="Detectivo",U27="Manual"),"30%",IF(AND(T27="Correctivo",U27="Automático"),"35%",IF(AND(T27="Correctivo",U27="Manual"),"25%",""))))))</f>
        <v>40%</v>
      </c>
      <c r="W27" s="215" t="s">
        <v>18</v>
      </c>
      <c r="X27" s="215" t="s">
        <v>21</v>
      </c>
      <c r="Y27" s="215" t="s">
        <v>104</v>
      </c>
      <c r="Z27" s="103">
        <f t="shared" ref="Z27" si="92">IFERROR(IF(S27="Probabilidad",(J27-(+J27*V27)),IF(S27="Impacto",J27,"")),"")</f>
        <v>0.36</v>
      </c>
      <c r="AA27" s="92" t="str">
        <f t="shared" ref="AA27" si="93">IFERROR(IF(Z27="","",IF(Z27&lt;=0.2,"Muy Baja",IF(Z27&lt;=0.4,"Baja",IF(Z27&lt;=0.6,"Media",IF(Z27&lt;=0.8,"Alta","Muy Alta"))))),"")</f>
        <v>Baja</v>
      </c>
      <c r="AB27" s="219">
        <f t="shared" ref="AB27" si="94">+Z27</f>
        <v>0.36</v>
      </c>
      <c r="AC27" s="92" t="str">
        <f t="shared" ref="AC27" ca="1" si="95">IFERROR(IF(AD27="","",IF(AD27&lt;=0.2,"Leve",IF(AD27&lt;=0.4,"Menor",IF(AD27&lt;=0.6,"Moderado",IF(AD27&lt;=0.8,"Mayor","Catastrófico"))))),"")</f>
        <v>Mayor</v>
      </c>
      <c r="AD27" s="219">
        <f t="shared" ref="AD27" ca="1" si="96">IFERROR(IF(S27="Impacto",(O27-(+O27*V27)),IF(S27="Probabilidad",O27,"")),"")</f>
        <v>0.8</v>
      </c>
      <c r="AE27" s="104" t="str">
        <f t="shared" ref="AE27" ca="1" si="97">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Alto</v>
      </c>
      <c r="AF27" s="220" t="s">
        <v>120</v>
      </c>
      <c r="AG27" s="122" t="s">
        <v>495</v>
      </c>
      <c r="AH27" s="142">
        <v>44593</v>
      </c>
      <c r="AI27" s="142">
        <v>44926</v>
      </c>
      <c r="AJ27" s="119" t="s">
        <v>40</v>
      </c>
      <c r="AK27" s="119" t="s">
        <v>40</v>
      </c>
      <c r="AM27" s="216"/>
      <c r="AP27" s="227"/>
    </row>
    <row r="28" spans="1:65" ht="99.95" customHeight="1" x14ac:dyDescent="0.25">
      <c r="A28" s="236">
        <v>13</v>
      </c>
      <c r="B28" s="194" t="s">
        <v>277</v>
      </c>
      <c r="C28" s="122" t="s">
        <v>118</v>
      </c>
      <c r="D28" s="122" t="s">
        <v>423</v>
      </c>
      <c r="E28" s="119" t="s">
        <v>424</v>
      </c>
      <c r="F28" s="119" t="s">
        <v>500</v>
      </c>
      <c r="G28" s="119" t="s">
        <v>108</v>
      </c>
      <c r="H28" s="122">
        <v>246</v>
      </c>
      <c r="I28" s="111" t="str">
        <f t="shared" si="79"/>
        <v>Media</v>
      </c>
      <c r="J28" s="219">
        <f t="shared" si="80"/>
        <v>0.6</v>
      </c>
      <c r="K28" s="121" t="s">
        <v>89</v>
      </c>
      <c r="L28" s="210" t="s">
        <v>138</v>
      </c>
      <c r="M28" s="219" t="str">
        <f ca="1">IF(NOT(ISERROR(MATCH(L28,_xlfn.ANCHORARRAY(F57),0))),J59&amp;"Por favor no seleccionar los criterios de impacto",L28)</f>
        <v xml:space="preserve">     El riesgo afecta la imagen de de la entidad con efecto publicitario sostenido a nivel de sector administrativo, nivel departamental o municipal</v>
      </c>
      <c r="N28" s="120"/>
      <c r="O28" s="219"/>
      <c r="P28" s="218"/>
      <c r="Q28" s="110">
        <v>2</v>
      </c>
      <c r="R28" s="119" t="s">
        <v>494</v>
      </c>
      <c r="S28" s="102" t="str">
        <f t="shared" si="90"/>
        <v>Probabilidad</v>
      </c>
      <c r="T28" s="215" t="s">
        <v>13</v>
      </c>
      <c r="U28" s="215" t="s">
        <v>8</v>
      </c>
      <c r="V28" s="121" t="str">
        <f t="shared" ref="V28:V29" si="98">IF(AND(T28="Preventivo",U28="Automático"),"50%",IF(AND(T28="Preventivo",U28="Manual"),"40%",IF(AND(T28="Detectivo",U28="Automático"),"40%",IF(AND(T28="Detectivo",U28="Manual"),"30%",IF(AND(T28="Correctivo",U28="Automático"),"35%",IF(AND(T28="Correctivo",U28="Manual"),"25%",""))))))</f>
        <v>40%</v>
      </c>
      <c r="W28" s="215" t="s">
        <v>18</v>
      </c>
      <c r="X28" s="215" t="s">
        <v>21</v>
      </c>
      <c r="Y28" s="215" t="s">
        <v>104</v>
      </c>
      <c r="Z28" s="103">
        <f>IFERROR(IF(S28="Probabilidad",(J28-(+J28*V28)),IF(S28="Impacto",J28,"")),"")</f>
        <v>0.36</v>
      </c>
      <c r="AA28" s="92" t="str">
        <f>IFERROR(IF(Z28="","",IF(Z28&lt;=0.2,"Muy Baja",IF(Z28&lt;=0.4,"Baja",IF(Z28&lt;=0.6,"Media",IF(Z28&lt;=0.8,"Alta","Muy Alta"))))),"")</f>
        <v>Baja</v>
      </c>
      <c r="AB28" s="219">
        <f>+Z28</f>
        <v>0.36</v>
      </c>
      <c r="AC28" s="92" t="str">
        <f t="shared" ref="AC28:AC29" si="99">IFERROR(IF(AD28="","",IF(AD28&lt;=0.2,"Leve",IF(AD28&lt;=0.4,"Menor",IF(AD28&lt;=0.6,"Moderado",IF(AD28&lt;=0.8,"Mayor","Catastrófico"))))),"")</f>
        <v>Leve</v>
      </c>
      <c r="AD28" s="219">
        <f>IFERROR(IF(S28="Impacto",(O28-(+O28*V28)),IF(S28="Probabilidad",O28,"")),"")</f>
        <v>0</v>
      </c>
      <c r="AE28" s="104" t="str">
        <f t="shared" ref="AE28:AE29" si="100">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Bajo</v>
      </c>
      <c r="AF28" s="220" t="s">
        <v>120</v>
      </c>
      <c r="AG28" s="122" t="s">
        <v>427</v>
      </c>
      <c r="AH28" s="142">
        <v>44593</v>
      </c>
      <c r="AI28" s="142">
        <v>44926</v>
      </c>
      <c r="AJ28" s="119" t="s">
        <v>40</v>
      </c>
      <c r="AK28" s="119" t="s">
        <v>40</v>
      </c>
      <c r="AM28" s="216"/>
      <c r="AP28" s="227"/>
    </row>
    <row r="29" spans="1:65" ht="99.95" customHeight="1" x14ac:dyDescent="0.25">
      <c r="A29" s="236">
        <v>14</v>
      </c>
      <c r="B29" s="194" t="s">
        <v>277</v>
      </c>
      <c r="C29" s="122" t="s">
        <v>118</v>
      </c>
      <c r="D29" s="122" t="s">
        <v>501</v>
      </c>
      <c r="E29" s="119" t="s">
        <v>496</v>
      </c>
      <c r="F29" s="119" t="s">
        <v>502</v>
      </c>
      <c r="G29" s="119" t="s">
        <v>113</v>
      </c>
      <c r="H29" s="122">
        <v>246</v>
      </c>
      <c r="I29" s="111" t="str">
        <f t="shared" si="79"/>
        <v>Media</v>
      </c>
      <c r="J29" s="219">
        <f t="shared" si="80"/>
        <v>0.6</v>
      </c>
      <c r="K29" s="121" t="s">
        <v>89</v>
      </c>
      <c r="L29" s="210" t="s">
        <v>137</v>
      </c>
      <c r="M29" s="219" t="str">
        <f ca="1">IF(NOT(ISERROR(MATCH(L29,_xlfn.ANCHORARRAY(F58),0))),J60&amp;"Por favor no seleccionar los criterios de impacto",L29)</f>
        <v xml:space="preserve">     El riesgo afecta la imagen de la entidad con algunos usuarios de relevancia frente al logro de los objetivos</v>
      </c>
      <c r="N29" s="120" t="str">
        <f ca="1">IF(OR(M29='[2]Tabla Impacto'!$C$11,M29='[2]Tabla Impacto'!$D$11),"Leve",IF(OR(M29='[2]Tabla Impacto'!$C$12,M29='[2]Tabla Impacto'!$D$12),"Menor",IF(OR(M29='[2]Tabla Impacto'!$C$13,M29='[2]Tabla Impacto'!$D$13),"Moderado",IF(OR(M29='[2]Tabla Impacto'!$C$14,M29='[2]Tabla Impacto'!$D$14),"Mayor",IF(OR(M29='[2]Tabla Impacto'!$C$15,M29='[2]Tabla Impacto'!$D$15),"Catastrófico","")))))</f>
        <v>Moderado</v>
      </c>
      <c r="O29" s="219">
        <f t="shared" ref="O29" ca="1" si="101">IF(N29="","",IF(N29="Leve",0.2,IF(N29="Menor",0.4,IF(N29="Moderado",0.6,IF(N29="Mayor",0.8,IF(N29="Catastrófico",1,))))))</f>
        <v>0.6</v>
      </c>
      <c r="P29" s="218" t="str">
        <f t="shared" ref="P29" ca="1" si="102">IF(OR(AND(I29="Muy Baja",N29="Leve"),AND(I29="Muy Baja",N29="Menor"),AND(I29="Baja",N29="Leve")),"Bajo",IF(OR(AND(I29="Muy baja",N29="Moderado"),AND(I29="Baja",N29="Menor"),AND(I29="Baja",N29="Moderado"),AND(I29="Media",N29="Leve"),AND(I29="Media",N29="Menor"),AND(I29="Media",N29="Moderado"),AND(I29="Alta",N29="Leve"),AND(I29="Alta",N29="Menor")),"Moderado",IF(OR(AND(I29="Muy Baja",N29="Mayor"),AND(I29="Baja",N29="Mayor"),AND(I29="Media",N29="Mayor"),AND(I29="Alta",N29="Moderado"),AND(I29="Alta",N29="Mayor"),AND(I29="Muy Alta",N29="Leve"),AND(I29="Muy Alta",N29="Menor"),AND(I29="Muy Alta",N29="Moderado"),AND(I29="Muy Alta",N29="Mayor")),"Alto",IF(OR(AND(I29="Muy Baja",N29="Catastrófico"),AND(I29="Baja",N29="Catastrófico"),AND(I29="Media",N29="Catastrófico"),AND(I29="Alta",N29="Catastrófico"),AND(I29="Muy Alta",N29="Catastrófico")),"Extremo",""))))</f>
        <v>Moderado</v>
      </c>
      <c r="Q29" s="110">
        <v>1</v>
      </c>
      <c r="R29" s="119" t="s">
        <v>498</v>
      </c>
      <c r="S29" s="102" t="str">
        <f t="shared" ref="S29" si="103">IF(OR(T29="Preventivo",T29="Detectivo"),"Probabilidad",IF(T29="Correctivo","Impacto",""))</f>
        <v>Probabilidad</v>
      </c>
      <c r="T29" s="215" t="s">
        <v>13</v>
      </c>
      <c r="U29" s="215" t="s">
        <v>8</v>
      </c>
      <c r="V29" s="121" t="str">
        <f t="shared" si="98"/>
        <v>40%</v>
      </c>
      <c r="W29" s="215" t="s">
        <v>18</v>
      </c>
      <c r="X29" s="215" t="s">
        <v>21</v>
      </c>
      <c r="Y29" s="215" t="s">
        <v>104</v>
      </c>
      <c r="Z29" s="103">
        <f t="shared" ref="Z29" si="104">IFERROR(IF(S29="Probabilidad",(J29-(+J29*V29)),IF(S29="Impacto",J29,"")),"")</f>
        <v>0.36</v>
      </c>
      <c r="AA29" s="92" t="str">
        <f t="shared" ref="AA29" si="105">IFERROR(IF(Z29="","",IF(Z29&lt;=0.2,"Muy Baja",IF(Z29&lt;=0.4,"Baja",IF(Z29&lt;=0.6,"Media",IF(Z29&lt;=0.8,"Alta","Muy Alta"))))),"")</f>
        <v>Baja</v>
      </c>
      <c r="AB29" s="219">
        <f t="shared" ref="AB29" si="106">+Z29</f>
        <v>0.36</v>
      </c>
      <c r="AC29" s="92" t="str">
        <f t="shared" ca="1" si="99"/>
        <v>Moderado</v>
      </c>
      <c r="AD29" s="219">
        <f t="shared" ref="AD29" ca="1" si="107">IFERROR(IF(S29="Impacto",(O29-(+O29*V29)),IF(S29="Probabilidad",O29,"")),"")</f>
        <v>0.6</v>
      </c>
      <c r="AE29" s="104" t="str">
        <f t="shared" ca="1" si="100"/>
        <v>Moderado</v>
      </c>
      <c r="AF29" s="220" t="s">
        <v>120</v>
      </c>
      <c r="AG29" s="122" t="s">
        <v>432</v>
      </c>
      <c r="AH29" s="142">
        <v>44593</v>
      </c>
      <c r="AI29" s="142">
        <v>44926</v>
      </c>
      <c r="AJ29" s="119" t="s">
        <v>40</v>
      </c>
      <c r="AK29" s="119" t="s">
        <v>40</v>
      </c>
      <c r="AM29" s="216"/>
      <c r="AP29" s="227"/>
    </row>
    <row r="30" spans="1:65" ht="99.95" customHeight="1" x14ac:dyDescent="0.25">
      <c r="A30" s="236">
        <v>14</v>
      </c>
      <c r="B30" s="194" t="s">
        <v>277</v>
      </c>
      <c r="C30" s="122" t="s">
        <v>118</v>
      </c>
      <c r="D30" s="122" t="s">
        <v>501</v>
      </c>
      <c r="E30" s="119" t="s">
        <v>497</v>
      </c>
      <c r="F30" s="119" t="s">
        <v>502</v>
      </c>
      <c r="G30" s="119" t="s">
        <v>113</v>
      </c>
      <c r="H30" s="122">
        <v>246</v>
      </c>
      <c r="I30" s="111" t="str">
        <f t="shared" si="79"/>
        <v>Media</v>
      </c>
      <c r="J30" s="219">
        <f t="shared" si="80"/>
        <v>0.6</v>
      </c>
      <c r="K30" s="121" t="s">
        <v>89</v>
      </c>
      <c r="L30" s="210" t="s">
        <v>137</v>
      </c>
      <c r="M30" s="219" t="str">
        <f ca="1">IF(NOT(ISERROR(MATCH(L30,_xlfn.ANCHORARRAY(F59),0))),J61&amp;"Por favor no seleccionar los criterios de impacto",L30)</f>
        <v xml:space="preserve">     El riesgo afecta la imagen de la entidad con algunos usuarios de relevancia frente al logro de los objetivos</v>
      </c>
      <c r="N30" s="120"/>
      <c r="O30" s="219"/>
      <c r="P30" s="218"/>
      <c r="Q30" s="110">
        <v>2</v>
      </c>
      <c r="R30" s="119" t="s">
        <v>426</v>
      </c>
      <c r="S30" s="102" t="str">
        <f>IF(OR(T30="Preventivo",T30="Detectivo"),"Probabilidad",IF(T30="Correctivo","Impacto",""))</f>
        <v>Probabilidad</v>
      </c>
      <c r="T30" s="215" t="s">
        <v>13</v>
      </c>
      <c r="U30" s="215" t="s">
        <v>8</v>
      </c>
      <c r="V30" s="121" t="str">
        <f t="shared" ref="V30" si="108">IF(AND(T30="Preventivo",U30="Automático"),"50%",IF(AND(T30="Preventivo",U30="Manual"),"40%",IF(AND(T30="Detectivo",U30="Automático"),"40%",IF(AND(T30="Detectivo",U30="Manual"),"30%",IF(AND(T30="Correctivo",U30="Automático"),"35%",IF(AND(T30="Correctivo",U30="Manual"),"25%",""))))))</f>
        <v>40%</v>
      </c>
      <c r="W30" s="215" t="s">
        <v>18</v>
      </c>
      <c r="X30" s="215" t="s">
        <v>21</v>
      </c>
      <c r="Y30" s="215" t="s">
        <v>104</v>
      </c>
      <c r="Z30" s="103">
        <f>IFERROR(IF(AND(S29="Probabilidad",S30="Probabilidad"),(AB29-(+AB29*V30)),IF(AND(S29="Impacto",S30="Probabilidad"),(AB27-(+AB27*V30)),IF(S30="Impacto",AB29,""))),"")</f>
        <v>0.216</v>
      </c>
      <c r="AA30" s="92" t="str">
        <f t="shared" ref="AA30" si="109">IFERROR(IF(Z30="","",IF(Z30&lt;=0.2,"Muy Baja",IF(Z30&lt;=0.4,"Baja",IF(Z30&lt;=0.6,"Media",IF(Z30&lt;=0.8,"Alta","Muy Alta"))))),"")</f>
        <v>Baja</v>
      </c>
      <c r="AB30" s="219">
        <f t="shared" ref="AB30" si="110">+Z30</f>
        <v>0.216</v>
      </c>
      <c r="AC30" s="92" t="str">
        <f t="shared" ref="AC30" ca="1" si="111">IFERROR(IF(AD30="","",IF(AD30&lt;=0.2,"Leve",IF(AD30&lt;=0.4,"Menor",IF(AD30&lt;=0.6,"Moderado",IF(AD30&lt;=0.8,"Mayor","Catastrófico"))))),"")</f>
        <v>Moderado</v>
      </c>
      <c r="AD30" s="219">
        <f ca="1">IFERROR(IF(AND(S29="Impacto",S30="Impacto"),(AD29-(+AD29*V30)),IF(AND(S29="Probabilidad",S30="Impacto"),(AD27-(+AD27*V30)),IF(S30="Probabilidad",AD29,""))),"")</f>
        <v>0.6</v>
      </c>
      <c r="AE30" s="104" t="str">
        <f t="shared" ref="AE30" ca="1" si="112">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Moderado</v>
      </c>
      <c r="AF30" s="215" t="s">
        <v>120</v>
      </c>
      <c r="AG30" s="122" t="s">
        <v>428</v>
      </c>
      <c r="AH30" s="142">
        <v>44593</v>
      </c>
      <c r="AI30" s="142">
        <v>44926</v>
      </c>
      <c r="AJ30" s="119" t="s">
        <v>40</v>
      </c>
      <c r="AK30" s="119" t="s">
        <v>40</v>
      </c>
      <c r="AM30" s="216"/>
      <c r="AP30" s="227"/>
    </row>
    <row r="31" spans="1:65" ht="99.95" customHeight="1" x14ac:dyDescent="0.25">
      <c r="A31" s="236">
        <v>14</v>
      </c>
      <c r="B31" s="194" t="s">
        <v>277</v>
      </c>
      <c r="C31" s="122" t="s">
        <v>118</v>
      </c>
      <c r="D31" s="122" t="s">
        <v>501</v>
      </c>
      <c r="E31" s="119" t="s">
        <v>497</v>
      </c>
      <c r="F31" s="119" t="s">
        <v>502</v>
      </c>
      <c r="G31" s="119" t="s">
        <v>113</v>
      </c>
      <c r="H31" s="122">
        <v>246</v>
      </c>
      <c r="I31" s="111" t="str">
        <f t="shared" si="79"/>
        <v>Media</v>
      </c>
      <c r="J31" s="219">
        <f t="shared" si="80"/>
        <v>0.6</v>
      </c>
      <c r="K31" s="121" t="s">
        <v>89</v>
      </c>
      <c r="L31" s="210" t="s">
        <v>137</v>
      </c>
      <c r="M31" s="219" t="str">
        <f>IF(NOT(ISERROR(MATCH(L31,'[4]Tabla Impacto'!$B$221:$B$223,0))),'[4]Tabla Impacto'!$F$223&amp;"Por favor no seleccionar los criterios de impacto(Afectación Económica o presupuestal y Pérdida Reputacional)",L31)</f>
        <v xml:space="preserve">     El riesgo afecta la imagen de la entidad con algunos usuarios de relevancia frente al logro de los objetivos</v>
      </c>
      <c r="N31" s="228"/>
      <c r="O31" s="219"/>
      <c r="P31" s="218" t="str">
        <f t="shared" ref="P31" si="113">IF(OR(AND(I31="Muy Baja",N31="Leve"),AND(I31="Muy Baja",N31="Menor"),AND(I31="Baja",N31="Leve")),"Bajo",IF(OR(AND(I31="Muy baja",N31="Moderado"),AND(I31="Baja",N31="Menor"),AND(I31="Baja",N31="Moderado"),AND(I31="Media",N31="Leve"),AND(I31="Media",N31="Menor"),AND(I31="Media",N31="Moderado"),AND(I31="Alta",N31="Leve"),AND(I31="Alta",N31="Menor")),"Moderado",IF(OR(AND(I31="Muy Baja",N31="Mayor"),AND(I31="Baja",N31="Mayor"),AND(I31="Media",N31="Mayor"),AND(I31="Alta",N31="Moderado"),AND(I31="Alta",N31="Mayor"),AND(I31="Muy Alta",N31="Leve"),AND(I31="Muy Alta",N31="Menor"),AND(I31="Muy Alta",N31="Moderado"),AND(I31="Muy Alta",N31="Mayor")),"Alto",IF(OR(AND(I31="Muy Baja",N31="Catastrófico"),AND(I31="Baja",N31="Catastrófico"),AND(I31="Media",N31="Catastrófico"),AND(I31="Alta",N31="Catastrófico"),AND(I31="Muy Alta",N31="Catastrófico")),"Extremo",""))))</f>
        <v/>
      </c>
      <c r="Q31" s="110">
        <v>3</v>
      </c>
      <c r="R31" s="119" t="s">
        <v>499</v>
      </c>
      <c r="S31" s="102" t="str">
        <f>IF(OR(T31="Preventivo",T31="Detectivo"),"Probabilidad",IF(T31="Correctivo","Impacto",""))</f>
        <v>Probabilidad</v>
      </c>
      <c r="T31" s="215" t="s">
        <v>13</v>
      </c>
      <c r="U31" s="215" t="s">
        <v>8</v>
      </c>
      <c r="V31" s="121" t="str">
        <f t="shared" si="26"/>
        <v>40%</v>
      </c>
      <c r="W31" s="215" t="s">
        <v>18</v>
      </c>
      <c r="X31" s="215" t="s">
        <v>21</v>
      </c>
      <c r="Y31" s="215" t="s">
        <v>104</v>
      </c>
      <c r="Z31" s="103">
        <f>IFERROR(IF(S31="Probabilidad",(J31-(+J31*V31)),IF(S31="Impacto",J31,"")),"")</f>
        <v>0.36</v>
      </c>
      <c r="AA31" s="92" t="str">
        <f t="shared" ref="AA31:AA38" si="114">IFERROR(IF(Z31="","",IF(Z31&lt;=0.2,"Muy Baja",IF(Z31&lt;=0.4,"Baja",IF(Z31&lt;=0.6,"Media",IF(Z31&lt;=0.8,"Alta","Muy Alta"))))),"")</f>
        <v>Baja</v>
      </c>
      <c r="AB31" s="219">
        <f t="shared" ref="AB31:AB38" si="115">+Z31</f>
        <v>0.36</v>
      </c>
      <c r="AC31" s="92" t="str">
        <f t="shared" si="68"/>
        <v>Leve</v>
      </c>
      <c r="AD31" s="219">
        <f>IFERROR(IF(S31="Impacto",(O31-(+O31*V31)),IF(S31="Probabilidad",O31,"")),"")</f>
        <v>0</v>
      </c>
      <c r="AE31" s="104" t="str">
        <f t="shared" si="5"/>
        <v>Bajo</v>
      </c>
      <c r="AF31" s="220" t="s">
        <v>120</v>
      </c>
      <c r="AG31" s="122" t="s">
        <v>428</v>
      </c>
      <c r="AH31" s="142">
        <v>44593</v>
      </c>
      <c r="AI31" s="142">
        <v>44926</v>
      </c>
      <c r="AJ31" s="119" t="s">
        <v>40</v>
      </c>
      <c r="AK31" s="119" t="s">
        <v>40</v>
      </c>
      <c r="AM31" s="216"/>
    </row>
    <row r="32" spans="1:65" ht="99.95" customHeight="1" x14ac:dyDescent="0.25">
      <c r="A32" s="236">
        <v>15</v>
      </c>
      <c r="B32" s="194" t="s">
        <v>274</v>
      </c>
      <c r="C32" s="122" t="s">
        <v>118</v>
      </c>
      <c r="D32" s="122" t="s">
        <v>433</v>
      </c>
      <c r="E32" s="122" t="s">
        <v>434</v>
      </c>
      <c r="F32" s="119" t="s">
        <v>435</v>
      </c>
      <c r="G32" s="119" t="s">
        <v>108</v>
      </c>
      <c r="H32" s="122">
        <v>20</v>
      </c>
      <c r="I32" s="111" t="str">
        <f t="shared" si="79"/>
        <v>Baja</v>
      </c>
      <c r="J32" s="219">
        <f t="shared" si="80"/>
        <v>0.4</v>
      </c>
      <c r="K32" s="121" t="s">
        <v>88</v>
      </c>
      <c r="L32" s="210" t="s">
        <v>138</v>
      </c>
      <c r="M32" s="219" t="str">
        <f>IF(NOT(ISERROR(MATCH(L32,'[4]Tabla Impacto'!$B$221:$B$223,0))),'[4]Tabla Impacto'!$F$223&amp;"Por favor no seleccionar los criterios de impacto(Afectación Económica o presupuestal y Pérdida Reputacional)",L32)</f>
        <v xml:space="preserve">     El riesgo afecta la imagen de de la entidad con efecto publicitario sostenido a nivel de sector administrativo, nivel departamental o municipal</v>
      </c>
      <c r="N32" s="228" t="str">
        <f>IF(OR(M32='[2]Tabla Impacto'!$C$11,M32='[2]Tabla Impacto'!$D$11),"Leve",IF(OR(M32='[2]Tabla Impacto'!$C$12,M32='[2]Tabla Impacto'!$D$12),"Menor",IF(OR(M32='[2]Tabla Impacto'!$C$13,M32='[2]Tabla Impacto'!$D$13),"Moderado",IF(OR(M32='[2]Tabla Impacto'!$C$14,M32='[2]Tabla Impacto'!$D$14),"Mayor",IF(OR(M32='[2]Tabla Impacto'!$C$15,M32='[2]Tabla Impacto'!$D$15),"Catastrófico","")))))</f>
        <v>Mayor</v>
      </c>
      <c r="O32" s="219">
        <f t="shared" ref="O32" si="116">IF(N32="","",IF(N32="Leve",0.2,IF(N32="Menor",0.4,IF(N32="Moderado",0.6,IF(N32="Mayor",0.8,IF(N32="Catastrófico",1,))))))</f>
        <v>0.8</v>
      </c>
      <c r="P32" s="218" t="str">
        <f t="shared" ref="P32" si="117">IF(OR(AND(I32="Muy Baja",N32="Leve"),AND(I32="Muy Baja",N32="Menor"),AND(I32="Baja",N32="Leve")),"Bajo",IF(OR(AND(I32="Muy baja",N32="Moderado"),AND(I32="Baja",N32="Menor"),AND(I32="Baja",N32="Moderado"),AND(I32="Media",N32="Leve"),AND(I32="Media",N32="Menor"),AND(I32="Media",N32="Moderado"),AND(I32="Alta",N32="Leve"),AND(I32="Alta",N32="Menor")),"Moderado",IF(OR(AND(I32="Muy Baja",N32="Mayor"),AND(I32="Baja",N32="Mayor"),AND(I32="Media",N32="Mayor"),AND(I32="Alta",N32="Moderado"),AND(I32="Alta",N32="Mayor"),AND(I32="Muy Alta",N32="Leve"),AND(I32="Muy Alta",N32="Menor"),AND(I32="Muy Alta",N32="Moderado"),AND(I32="Muy Alta",N32="Mayor")),"Alto",IF(OR(AND(I32="Muy Baja",N32="Catastrófico"),AND(I32="Baja",N32="Catastrófico"),AND(I32="Media",N32="Catastrófico"),AND(I32="Alta",N32="Catastrófico"),AND(I32="Muy Alta",N32="Catastrófico")),"Extremo",""))))</f>
        <v>Alto</v>
      </c>
      <c r="Q32" s="110">
        <v>1</v>
      </c>
      <c r="R32" s="119" t="s">
        <v>429</v>
      </c>
      <c r="S32" s="102" t="str">
        <f t="shared" ref="S32" si="118">IF(OR(T32="Preventivo",T32="Detectivo"),"Probabilidad",IF(T32="Correctivo","Impacto",""))</f>
        <v>Probabilidad</v>
      </c>
      <c r="T32" s="215" t="s">
        <v>13</v>
      </c>
      <c r="U32" s="215" t="s">
        <v>8</v>
      </c>
      <c r="V32" s="121" t="str">
        <f t="shared" si="26"/>
        <v>40%</v>
      </c>
      <c r="W32" s="215" t="s">
        <v>18</v>
      </c>
      <c r="X32" s="215" t="s">
        <v>21</v>
      </c>
      <c r="Y32" s="215" t="s">
        <v>104</v>
      </c>
      <c r="Z32" s="103">
        <f t="shared" ref="Z32" si="119">IFERROR(IF(S32="Probabilidad",(J32-(+J32*V32)),IF(S32="Impacto",J32,"")),"")</f>
        <v>0.24</v>
      </c>
      <c r="AA32" s="92" t="str">
        <f t="shared" si="114"/>
        <v>Baja</v>
      </c>
      <c r="AB32" s="219">
        <f t="shared" si="115"/>
        <v>0.24</v>
      </c>
      <c r="AC32" s="92" t="str">
        <f t="shared" si="68"/>
        <v>Mayor</v>
      </c>
      <c r="AD32" s="219">
        <f t="shared" ref="AD32" si="120">IFERROR(IF(S32="Impacto",(O32-(+O32*V32)),IF(S32="Probabilidad",O32,"")),"")</f>
        <v>0.8</v>
      </c>
      <c r="AE32" s="104" t="str">
        <f t="shared" si="5"/>
        <v>Alto</v>
      </c>
      <c r="AF32" s="220" t="s">
        <v>120</v>
      </c>
      <c r="AG32" s="122" t="s">
        <v>436</v>
      </c>
      <c r="AH32" s="142">
        <v>44593</v>
      </c>
      <c r="AI32" s="142">
        <v>44926</v>
      </c>
      <c r="AJ32" s="119" t="s">
        <v>40</v>
      </c>
      <c r="AK32" s="119" t="s">
        <v>40</v>
      </c>
      <c r="AM32" s="216"/>
    </row>
    <row r="33" spans="1:37" ht="99.95" customHeight="1" x14ac:dyDescent="0.25">
      <c r="A33" s="236">
        <v>15</v>
      </c>
      <c r="B33" s="194" t="s">
        <v>274</v>
      </c>
      <c r="C33" s="122" t="s">
        <v>118</v>
      </c>
      <c r="D33" s="122" t="s">
        <v>433</v>
      </c>
      <c r="E33" s="122" t="s">
        <v>434</v>
      </c>
      <c r="F33" s="119" t="s">
        <v>435</v>
      </c>
      <c r="G33" s="119" t="s">
        <v>108</v>
      </c>
      <c r="H33" s="122">
        <v>20</v>
      </c>
      <c r="I33" s="111" t="str">
        <f t="shared" si="79"/>
        <v>Baja</v>
      </c>
      <c r="J33" s="219">
        <f t="shared" si="80"/>
        <v>0.4</v>
      </c>
      <c r="K33" s="121" t="s">
        <v>88</v>
      </c>
      <c r="L33" s="210" t="s">
        <v>138</v>
      </c>
      <c r="M33" s="219" t="str">
        <f>IF(NOT(ISERROR(MATCH(L33,'[4]Tabla Impacto'!$B$221:$B$223,0))),'[4]Tabla Impacto'!$F$223&amp;"Por favor no seleccionar los criterios de impacto(Afectación Económica o presupuestal y Pérdida Reputacional)",L33)</f>
        <v xml:space="preserve">     El riesgo afecta la imagen de de la entidad con efecto publicitario sostenido a nivel de sector administrativo, nivel departamental o municipal</v>
      </c>
      <c r="N33" s="111"/>
      <c r="O33" s="219"/>
      <c r="P33" s="218"/>
      <c r="Q33" s="110">
        <v>2</v>
      </c>
      <c r="R33" s="119" t="s">
        <v>430</v>
      </c>
      <c r="S33" s="102" t="str">
        <f t="shared" ref="S33:S38" si="121">IF(OR(T33="Preventivo",T33="Detectivo"),"Probabilidad",IF(T33="Correctivo","Impacto",""))</f>
        <v>Probabilidad</v>
      </c>
      <c r="T33" s="215" t="s">
        <v>13</v>
      </c>
      <c r="U33" s="215" t="s">
        <v>8</v>
      </c>
      <c r="V33" s="121" t="str">
        <f t="shared" ref="V33:V38" si="122">IF(AND(T33="Preventivo",U33="Automático"),"50%",IF(AND(T33="Preventivo",U33="Manual"),"40%",IF(AND(T33="Detectivo",U33="Automático"),"40%",IF(AND(T33="Detectivo",U33="Manual"),"30%",IF(AND(T33="Correctivo",U33="Automático"),"35%",IF(AND(T33="Correctivo",U33="Manual"),"25%",""))))))</f>
        <v>40%</v>
      </c>
      <c r="W33" s="215" t="s">
        <v>18</v>
      </c>
      <c r="X33" s="215" t="s">
        <v>21</v>
      </c>
      <c r="Y33" s="215" t="s">
        <v>104</v>
      </c>
      <c r="Z33" s="103">
        <f>IFERROR(IF(AND(S32="Probabilidad",S33="Probabilidad"),(AB32-(+AB32*V33)),IF(AND(S32="Impacto",S33="Probabilidad"),(#REF!-(+#REF!*V33)),IF(S33="Impacto",AB32,""))),"")</f>
        <v>0.14399999999999999</v>
      </c>
      <c r="AA33" s="92" t="str">
        <f t="shared" si="114"/>
        <v>Muy Baja</v>
      </c>
      <c r="AB33" s="219">
        <f t="shared" si="115"/>
        <v>0.14399999999999999</v>
      </c>
      <c r="AC33" s="92" t="str">
        <f t="shared" si="68"/>
        <v>Mayor</v>
      </c>
      <c r="AD33" s="219">
        <f>IFERROR(IF(AND(S32="Impacto",S33="Impacto"),(AD32-(+AD32*V33)),IF(AND(S32="Probabilidad",S33="Impacto"),(#REF!-(+#REF!*V33)),IF(S33="Probabilidad",AD32,""))),"")</f>
        <v>0.8</v>
      </c>
      <c r="AE33" s="104" t="str">
        <f t="shared" si="5"/>
        <v>Alto</v>
      </c>
      <c r="AF33" s="220" t="s">
        <v>120</v>
      </c>
      <c r="AG33" s="122" t="s">
        <v>436</v>
      </c>
      <c r="AH33" s="142">
        <v>44593</v>
      </c>
      <c r="AI33" s="142">
        <v>44926</v>
      </c>
      <c r="AJ33" s="119" t="s">
        <v>40</v>
      </c>
      <c r="AK33" s="119" t="s">
        <v>40</v>
      </c>
    </row>
    <row r="34" spans="1:37" ht="99.95" customHeight="1" x14ac:dyDescent="0.25">
      <c r="A34" s="236">
        <v>15</v>
      </c>
      <c r="B34" s="194" t="s">
        <v>274</v>
      </c>
      <c r="C34" s="122" t="s">
        <v>118</v>
      </c>
      <c r="D34" s="122" t="s">
        <v>437</v>
      </c>
      <c r="E34" s="122" t="s">
        <v>434</v>
      </c>
      <c r="F34" s="119" t="s">
        <v>438</v>
      </c>
      <c r="G34" s="119" t="s">
        <v>108</v>
      </c>
      <c r="H34" s="122">
        <v>20</v>
      </c>
      <c r="I34" s="111" t="str">
        <f t="shared" si="79"/>
        <v>Baja</v>
      </c>
      <c r="J34" s="219">
        <f t="shared" si="80"/>
        <v>0.4</v>
      </c>
      <c r="K34" s="121" t="s">
        <v>88</v>
      </c>
      <c r="L34" s="210" t="s">
        <v>138</v>
      </c>
      <c r="M34" s="219" t="str">
        <f>IF(NOT(ISERROR(MATCH(L34,'[4]Tabla Impacto'!$B$221:$B$223,0))),'[4]Tabla Impacto'!$F$223&amp;"Por favor no seleccionar los criterios de impacto(Afectación Económica o presupuestal y Pérdida Reputacional)",L34)</f>
        <v xml:space="preserve">     El riesgo afecta la imagen de de la entidad con efecto publicitario sostenido a nivel de sector administrativo, nivel departamental o municipal</v>
      </c>
      <c r="N34" s="111"/>
      <c r="O34" s="219"/>
      <c r="P34" s="218"/>
      <c r="Q34" s="110">
        <v>3</v>
      </c>
      <c r="R34" s="119" t="s">
        <v>431</v>
      </c>
      <c r="S34" s="102" t="str">
        <f t="shared" si="121"/>
        <v>Probabilidad</v>
      </c>
      <c r="T34" s="215" t="s">
        <v>13</v>
      </c>
      <c r="U34" s="215" t="s">
        <v>8</v>
      </c>
      <c r="V34" s="121" t="str">
        <f t="shared" si="122"/>
        <v>40%</v>
      </c>
      <c r="W34" s="215" t="s">
        <v>18</v>
      </c>
      <c r="X34" s="215" t="s">
        <v>21</v>
      </c>
      <c r="Y34" s="215" t="s">
        <v>104</v>
      </c>
      <c r="Z34" s="103">
        <f>IFERROR(IF(AND(S33="Probabilidad",S34="Probabilidad"),(AB33-(+AB33*V34)),IF(AND(S33="Impacto",S34="Probabilidad"),(AB32-(+AB32*V34)),IF(S34="Impacto",AB33,""))),"")</f>
        <v>8.6399999999999991E-2</v>
      </c>
      <c r="AA34" s="92" t="str">
        <f t="shared" si="114"/>
        <v>Muy Baja</v>
      </c>
      <c r="AB34" s="219">
        <f t="shared" si="115"/>
        <v>8.6399999999999991E-2</v>
      </c>
      <c r="AC34" s="92" t="str">
        <f t="shared" si="68"/>
        <v>Mayor</v>
      </c>
      <c r="AD34" s="219">
        <f>IFERROR(IF(AND(S33="Impacto",S34="Impacto"),(AD33-(+AD33*V34)),IF(AND(S33="Probabilidad",S34="Impacto"),(AD32-(+AD32*V34)),IF(S34="Probabilidad",AD33,""))),"")</f>
        <v>0.8</v>
      </c>
      <c r="AE34" s="104" t="str">
        <f t="shared" si="5"/>
        <v>Alto</v>
      </c>
      <c r="AF34" s="220" t="s">
        <v>120</v>
      </c>
      <c r="AG34" s="122" t="s">
        <v>436</v>
      </c>
      <c r="AH34" s="142">
        <v>44593</v>
      </c>
      <c r="AI34" s="142">
        <v>44926</v>
      </c>
      <c r="AJ34" s="119" t="s">
        <v>40</v>
      </c>
      <c r="AK34" s="119" t="s">
        <v>40</v>
      </c>
    </row>
    <row r="35" spans="1:37" ht="99.95" customHeight="1" x14ac:dyDescent="0.25">
      <c r="A35" s="236">
        <v>15</v>
      </c>
      <c r="B35" s="194" t="s">
        <v>274</v>
      </c>
      <c r="C35" s="122" t="s">
        <v>118</v>
      </c>
      <c r="D35" s="122" t="s">
        <v>437</v>
      </c>
      <c r="E35" s="122" t="s">
        <v>434</v>
      </c>
      <c r="F35" s="119" t="s">
        <v>438</v>
      </c>
      <c r="G35" s="119" t="s">
        <v>108</v>
      </c>
      <c r="H35" s="122">
        <v>20</v>
      </c>
      <c r="I35" s="111" t="str">
        <f t="shared" si="79"/>
        <v>Baja</v>
      </c>
      <c r="J35" s="219">
        <f t="shared" si="80"/>
        <v>0.4</v>
      </c>
      <c r="K35" s="121" t="s">
        <v>88</v>
      </c>
      <c r="L35" s="210" t="s">
        <v>138</v>
      </c>
      <c r="M35" s="219" t="str">
        <f>IF(NOT(ISERROR(MATCH(L35,'[4]Tabla Impacto'!$B$221:$B$223,0))),'[4]Tabla Impacto'!$F$223&amp;"Por favor no seleccionar los criterios de impacto(Afectación Económica o presupuestal y Pérdida Reputacional)",L35)</f>
        <v xml:space="preserve">     El riesgo afecta la imagen de de la entidad con efecto publicitario sostenido a nivel de sector administrativo, nivel departamental o municipal</v>
      </c>
      <c r="N35" s="228"/>
      <c r="O35" s="219"/>
      <c r="P35" s="218" t="str">
        <f t="shared" ref="P35" si="123">IF(OR(AND(I35="Muy Baja",N35="Leve"),AND(I35="Muy Baja",N35="Menor"),AND(I35="Baja",N35="Leve")),"Bajo",IF(OR(AND(I35="Muy baja",N35="Moderado"),AND(I35="Baja",N35="Menor"),AND(I35="Baja",N35="Moderado"),AND(I35="Media",N35="Leve"),AND(I35="Media",N35="Menor"),AND(I35="Media",N35="Moderado"),AND(I35="Alta",N35="Leve"),AND(I35="Alta",N35="Menor")),"Moderado",IF(OR(AND(I35="Muy Baja",N35="Mayor"),AND(I35="Baja",N35="Mayor"),AND(I35="Media",N35="Mayor"),AND(I35="Alta",N35="Moderado"),AND(I35="Alta",N35="Mayor"),AND(I35="Muy Alta",N35="Leve"),AND(I35="Muy Alta",N35="Menor"),AND(I35="Muy Alta",N35="Moderado"),AND(I35="Muy Alta",N35="Mayor")),"Alto",IF(OR(AND(I35="Muy Baja",N35="Catastrófico"),AND(I35="Baja",N35="Catastrófico"),AND(I35="Media",N35="Catastrófico"),AND(I35="Alta",N35="Catastrófico"),AND(I35="Muy Alta",N35="Catastrófico")),"Extremo",""))))</f>
        <v/>
      </c>
      <c r="Q35" s="110">
        <v>4</v>
      </c>
      <c r="R35" s="119" t="s">
        <v>440</v>
      </c>
      <c r="S35" s="102" t="str">
        <f t="shared" si="121"/>
        <v>Probabilidad</v>
      </c>
      <c r="T35" s="215" t="s">
        <v>13</v>
      </c>
      <c r="U35" s="215" t="s">
        <v>8</v>
      </c>
      <c r="V35" s="121" t="str">
        <f t="shared" si="122"/>
        <v>40%</v>
      </c>
      <c r="W35" s="215" t="s">
        <v>18</v>
      </c>
      <c r="X35" s="215" t="s">
        <v>21</v>
      </c>
      <c r="Y35" s="215" t="s">
        <v>104</v>
      </c>
      <c r="Z35" s="103">
        <f>IFERROR(IF(S35="Probabilidad",(J35-(+J35*V35)),IF(S35="Impacto",J35,"")),"")</f>
        <v>0.24</v>
      </c>
      <c r="AA35" s="92" t="str">
        <f t="shared" si="114"/>
        <v>Baja</v>
      </c>
      <c r="AB35" s="219">
        <f t="shared" si="115"/>
        <v>0.24</v>
      </c>
      <c r="AC35" s="92" t="str">
        <f t="shared" si="68"/>
        <v>Leve</v>
      </c>
      <c r="AD35" s="219">
        <f>IFERROR(IF(S35="Impacto",(O35-(+O35*V35)),IF(S35="Probabilidad",O35,"")),"")</f>
        <v>0</v>
      </c>
      <c r="AE35" s="104" t="str">
        <f t="shared" si="5"/>
        <v>Bajo</v>
      </c>
      <c r="AF35" s="220" t="s">
        <v>120</v>
      </c>
      <c r="AG35" s="122" t="s">
        <v>436</v>
      </c>
      <c r="AH35" s="142">
        <v>44593</v>
      </c>
      <c r="AI35" s="142">
        <v>44926</v>
      </c>
      <c r="AJ35" s="119" t="s">
        <v>40</v>
      </c>
      <c r="AK35" s="119" t="s">
        <v>40</v>
      </c>
    </row>
    <row r="36" spans="1:37" ht="99.95" customHeight="1" x14ac:dyDescent="0.25">
      <c r="A36" s="236">
        <v>15</v>
      </c>
      <c r="B36" s="194" t="s">
        <v>274</v>
      </c>
      <c r="C36" s="122" t="s">
        <v>118</v>
      </c>
      <c r="D36" s="122" t="s">
        <v>437</v>
      </c>
      <c r="E36" s="122" t="s">
        <v>434</v>
      </c>
      <c r="F36" s="119" t="s">
        <v>438</v>
      </c>
      <c r="G36" s="119" t="s">
        <v>108</v>
      </c>
      <c r="H36" s="122">
        <v>20</v>
      </c>
      <c r="I36" s="111" t="str">
        <f t="shared" si="79"/>
        <v>Baja</v>
      </c>
      <c r="J36" s="219">
        <f t="shared" si="80"/>
        <v>0.4</v>
      </c>
      <c r="K36" s="121" t="s">
        <v>88</v>
      </c>
      <c r="L36" s="210" t="s">
        <v>138</v>
      </c>
      <c r="M36" s="219" t="str">
        <f>IF(NOT(ISERROR(MATCH(L36,'[4]Tabla Impacto'!$B$221:$B$223,0))),'[4]Tabla Impacto'!$F$223&amp;"Por favor no seleccionar los criterios de impacto(Afectación Económica o presupuestal y Pérdida Reputacional)",L36)</f>
        <v xml:space="preserve">     El riesgo afecta la imagen de de la entidad con efecto publicitario sostenido a nivel de sector administrativo, nivel departamental o municipal</v>
      </c>
      <c r="N36" s="111"/>
      <c r="O36" s="219"/>
      <c r="P36" s="218"/>
      <c r="Q36" s="110">
        <v>5</v>
      </c>
      <c r="R36" s="119" t="s">
        <v>439</v>
      </c>
      <c r="S36" s="102" t="str">
        <f t="shared" si="121"/>
        <v>Probabilidad</v>
      </c>
      <c r="T36" s="215" t="s">
        <v>13</v>
      </c>
      <c r="U36" s="215" t="s">
        <v>8</v>
      </c>
      <c r="V36" s="121" t="str">
        <f t="shared" si="122"/>
        <v>40%</v>
      </c>
      <c r="W36" s="215" t="s">
        <v>18</v>
      </c>
      <c r="X36" s="215" t="s">
        <v>21</v>
      </c>
      <c r="Y36" s="215" t="s">
        <v>104</v>
      </c>
      <c r="Z36" s="103">
        <f>IFERROR(IF(AND(S35="Probabilidad",S36="Probabilidad"),(AB35-(+AB35*V36)),IF(AND(S35="Impacto",S36="Probabilidad"),(AB34-(+AB34*V36)),IF(S36="Impacto",AB35,""))),"")</f>
        <v>0.14399999999999999</v>
      </c>
      <c r="AA36" s="92" t="str">
        <f t="shared" si="114"/>
        <v>Muy Baja</v>
      </c>
      <c r="AB36" s="219">
        <f t="shared" si="115"/>
        <v>0.14399999999999999</v>
      </c>
      <c r="AC36" s="92" t="str">
        <f t="shared" si="68"/>
        <v>Leve</v>
      </c>
      <c r="AD36" s="219">
        <f>IFERROR(IF(AND(S35="Impacto",S36="Impacto"),(AD35-(+AD35*V36)),IF(AND(S35="Probabilidad",S36="Impacto"),(AD34-(+AD34*V36)),IF(S36="Probabilidad",AD35,""))),"")</f>
        <v>0</v>
      </c>
      <c r="AE36" s="104" t="str">
        <f t="shared" si="5"/>
        <v>Bajo</v>
      </c>
      <c r="AF36" s="220" t="s">
        <v>120</v>
      </c>
      <c r="AG36" s="122" t="s">
        <v>436</v>
      </c>
      <c r="AH36" s="142">
        <v>44593</v>
      </c>
      <c r="AI36" s="142">
        <v>44926</v>
      </c>
      <c r="AJ36" s="119" t="s">
        <v>40</v>
      </c>
      <c r="AK36" s="119" t="s">
        <v>40</v>
      </c>
    </row>
    <row r="37" spans="1:37" ht="99.95" customHeight="1" x14ac:dyDescent="0.25">
      <c r="A37" s="235">
        <v>16</v>
      </c>
      <c r="B37" s="148" t="s">
        <v>275</v>
      </c>
      <c r="C37" s="122" t="s">
        <v>118</v>
      </c>
      <c r="D37" s="110" t="s">
        <v>237</v>
      </c>
      <c r="E37" s="110" t="s">
        <v>455</v>
      </c>
      <c r="F37" s="232" t="s">
        <v>441</v>
      </c>
      <c r="G37" s="119" t="s">
        <v>108</v>
      </c>
      <c r="H37" s="110">
        <v>500</v>
      </c>
      <c r="I37" s="111" t="str">
        <f t="shared" si="79"/>
        <v>Media</v>
      </c>
      <c r="J37" s="219">
        <f t="shared" si="80"/>
        <v>0.6</v>
      </c>
      <c r="K37" s="121" t="s">
        <v>456</v>
      </c>
      <c r="L37" s="210" t="s">
        <v>137</v>
      </c>
      <c r="M37" s="219" t="str">
        <f>IF(NOT(ISERROR(MATCH(L37,'[4]Tabla Impacto'!$B$221:$B$223,0))),'[4]Tabla Impacto'!$F$223&amp;"Por favor no seleccionar los criterios de impacto(Afectación Económica o presupuestal y Pérdida Reputacional)",L37)</f>
        <v xml:space="preserve">     El riesgo afecta la imagen de la entidad con algunos usuarios de relevancia frente al logro de los objetivos</v>
      </c>
      <c r="N37" s="228" t="str">
        <f>IF(OR(M37='[2]Tabla Impacto'!$C$11,M37='[2]Tabla Impacto'!$D$11),"Leve",IF(OR(M37='[2]Tabla Impacto'!$C$12,M37='[2]Tabla Impacto'!$D$12),"Menor",IF(OR(M37='[2]Tabla Impacto'!$C$13,M37='[2]Tabla Impacto'!$D$13),"Moderado",IF(OR(M37='[2]Tabla Impacto'!$C$14,M37='[2]Tabla Impacto'!$D$14),"Mayor",IF(OR(M37='[2]Tabla Impacto'!$C$15,M37='[2]Tabla Impacto'!$D$15),"Catastrófico","")))))</f>
        <v>Moderado</v>
      </c>
      <c r="O37" s="219">
        <f t="shared" ref="O37" si="124">IF(N37="","",IF(N37="Leve",0.2,IF(N37="Menor",0.4,IF(N37="Moderado",0.6,IF(N37="Mayor",0.8,IF(N37="Catastrófico",1,))))))</f>
        <v>0.6</v>
      </c>
      <c r="P37" s="218" t="str">
        <f t="shared" ref="P37" si="125">IF(OR(AND(I37="Muy Baja",N37="Leve"),AND(I37="Muy Baja",N37="Menor"),AND(I37="Baja",N37="Leve")),"Bajo",IF(OR(AND(I37="Muy baja",N37="Moderado"),AND(I37="Baja",N37="Menor"),AND(I37="Baja",N37="Moderado"),AND(I37="Media",N37="Leve"),AND(I37="Media",N37="Menor"),AND(I37="Media",N37="Moderado"),AND(I37="Alta",N37="Leve"),AND(I37="Alta",N37="Menor")),"Moderado",IF(OR(AND(I37="Muy Baja",N37="Mayor"),AND(I37="Baja",N37="Mayor"),AND(I37="Media",N37="Mayor"),AND(I37="Alta",N37="Moderado"),AND(I37="Alta",N37="Mayor"),AND(I37="Muy Alta",N37="Leve"),AND(I37="Muy Alta",N37="Menor"),AND(I37="Muy Alta",N37="Moderado"),AND(I37="Muy Alta",N37="Mayor")),"Alto",IF(OR(AND(I37="Muy Baja",N37="Catastrófico"),AND(I37="Baja",N37="Catastrófico"),AND(I37="Media",N37="Catastrófico"),AND(I37="Alta",N37="Catastrófico"),AND(I37="Muy Alta",N37="Catastrófico")),"Extremo",""))))</f>
        <v>Moderado</v>
      </c>
      <c r="Q37" s="110">
        <v>1</v>
      </c>
      <c r="R37" s="119" t="s">
        <v>442</v>
      </c>
      <c r="S37" s="102" t="str">
        <f t="shared" si="121"/>
        <v>Probabilidad</v>
      </c>
      <c r="T37" s="215" t="s">
        <v>13</v>
      </c>
      <c r="U37" s="215" t="s">
        <v>8</v>
      </c>
      <c r="V37" s="121" t="str">
        <f t="shared" si="122"/>
        <v>40%</v>
      </c>
      <c r="W37" s="215" t="s">
        <v>18</v>
      </c>
      <c r="X37" s="215" t="s">
        <v>21</v>
      </c>
      <c r="Y37" s="215" t="s">
        <v>104</v>
      </c>
      <c r="Z37" s="103">
        <f t="shared" ref="Z37" si="126">IFERROR(IF(S37="Probabilidad",(J37-(+J37*V37)),IF(S37="Impacto",J37,"")),"")</f>
        <v>0.36</v>
      </c>
      <c r="AA37" s="92" t="str">
        <f t="shared" si="114"/>
        <v>Baja</v>
      </c>
      <c r="AB37" s="219">
        <f t="shared" si="115"/>
        <v>0.36</v>
      </c>
      <c r="AC37" s="92" t="str">
        <f t="shared" si="68"/>
        <v>Moderado</v>
      </c>
      <c r="AD37" s="219">
        <f t="shared" ref="AD37" si="127">IFERROR(IF(S37="Impacto",(O37-(+O37*V37)),IF(S37="Probabilidad",O37,"")),"")</f>
        <v>0.6</v>
      </c>
      <c r="AE37" s="104" t="str">
        <f t="shared" si="5"/>
        <v>Moderado</v>
      </c>
      <c r="AF37" s="220" t="s">
        <v>120</v>
      </c>
      <c r="AG37" s="122" t="s">
        <v>446</v>
      </c>
      <c r="AH37" s="142">
        <v>44593</v>
      </c>
      <c r="AI37" s="142">
        <v>44926</v>
      </c>
      <c r="AJ37" s="119" t="s">
        <v>40</v>
      </c>
      <c r="AK37" s="119" t="s">
        <v>40</v>
      </c>
    </row>
    <row r="38" spans="1:37" ht="99.95" customHeight="1" x14ac:dyDescent="0.25">
      <c r="A38" s="237">
        <v>16</v>
      </c>
      <c r="B38" s="194" t="s">
        <v>275</v>
      </c>
      <c r="C38" s="122" t="s">
        <v>118</v>
      </c>
      <c r="D38" s="110" t="s">
        <v>237</v>
      </c>
      <c r="E38" s="110" t="s">
        <v>455</v>
      </c>
      <c r="F38" s="232" t="s">
        <v>441</v>
      </c>
      <c r="G38" s="119" t="s">
        <v>108</v>
      </c>
      <c r="H38" s="110">
        <v>500</v>
      </c>
      <c r="I38" s="111" t="str">
        <f t="shared" si="79"/>
        <v>Media</v>
      </c>
      <c r="J38" s="219">
        <f t="shared" si="80"/>
        <v>0.6</v>
      </c>
      <c r="K38" s="121" t="s">
        <v>456</v>
      </c>
      <c r="L38" s="210" t="s">
        <v>137</v>
      </c>
      <c r="M38" s="219" t="str">
        <f>IF(NOT(ISERROR(MATCH(L38,'[4]Tabla Impacto'!$B$221:$B$223,0))),'[4]Tabla Impacto'!$F$223&amp;"Por favor no seleccionar los criterios de impacto(Afectación Económica o presupuestal y Pérdida Reputacional)",L38)</f>
        <v xml:space="preserve">     El riesgo afecta la imagen de la entidad con algunos usuarios de relevancia frente al logro de los objetivos</v>
      </c>
      <c r="N38" s="228"/>
      <c r="O38" s="219" t="str">
        <f t="shared" ref="O38" si="128">IF(N38="","",IF(N38="Leve",0.2,IF(N38="Menor",0.4,IF(N38="Moderado",0.6,IF(N38="Mayor",0.8,IF(N38="Catastrófico",1,))))))</f>
        <v/>
      </c>
      <c r="P38" s="218" t="str">
        <f t="shared" ref="P38" si="129">IF(OR(AND(I38="Muy Baja",N38="Leve"),AND(I38="Muy Baja",N38="Menor"),AND(I38="Baja",N38="Leve")),"Bajo",IF(OR(AND(I38="Muy baja",N38="Moderado"),AND(I38="Baja",N38="Menor"),AND(I38="Baja",N38="Moderado"),AND(I38="Media",N38="Leve"),AND(I38="Media",N38="Menor"),AND(I38="Media",N38="Moderado"),AND(I38="Alta",N38="Leve"),AND(I38="Alta",N38="Menor")),"Moderado",IF(OR(AND(I38="Muy Baja",N38="Mayor"),AND(I38="Baja",N38="Mayor"),AND(I38="Media",N38="Mayor"),AND(I38="Alta",N38="Moderado"),AND(I38="Alta",N38="Mayor"),AND(I38="Muy Alta",N38="Leve"),AND(I38="Muy Alta",N38="Menor"),AND(I38="Muy Alta",N38="Moderado"),AND(I38="Muy Alta",N38="Mayor")),"Alto",IF(OR(AND(I38="Muy Baja",N38="Catastrófico"),AND(I38="Baja",N38="Catastrófico"),AND(I38="Media",N38="Catastrófico"),AND(I38="Alta",N38="Catastrófico"),AND(I38="Muy Alta",N38="Catastrófico")),"Extremo",""))))</f>
        <v/>
      </c>
      <c r="Q38" s="110">
        <v>2</v>
      </c>
      <c r="R38" s="119" t="s">
        <v>447</v>
      </c>
      <c r="S38" s="102" t="str">
        <f t="shared" si="121"/>
        <v>Probabilidad</v>
      </c>
      <c r="T38" s="215" t="s">
        <v>13</v>
      </c>
      <c r="U38" s="215" t="s">
        <v>8</v>
      </c>
      <c r="V38" s="121" t="str">
        <f t="shared" si="122"/>
        <v>40%</v>
      </c>
      <c r="W38" s="215" t="s">
        <v>18</v>
      </c>
      <c r="X38" s="215" t="s">
        <v>21</v>
      </c>
      <c r="Y38" s="215" t="s">
        <v>104</v>
      </c>
      <c r="Z38" s="103">
        <f>IFERROR(IF(S38="Probabilidad",(J38-(+J38*V38)),IF(S38="Impacto",J38,"")),"")</f>
        <v>0.36</v>
      </c>
      <c r="AA38" s="92" t="str">
        <f t="shared" si="114"/>
        <v>Baja</v>
      </c>
      <c r="AB38" s="219">
        <f t="shared" si="115"/>
        <v>0.36</v>
      </c>
      <c r="AC38" s="92" t="str">
        <f t="shared" si="68"/>
        <v/>
      </c>
      <c r="AD38" s="219" t="str">
        <f>IFERROR(IF(S38="Impacto",(O38-(+O38*V38)),IF(S38="Probabilidad",O38,"")),"")</f>
        <v/>
      </c>
      <c r="AE38" s="104" t="str">
        <f t="shared" si="5"/>
        <v/>
      </c>
      <c r="AF38" s="220" t="s">
        <v>121</v>
      </c>
      <c r="AG38" s="122" t="s">
        <v>446</v>
      </c>
      <c r="AH38" s="142">
        <v>44593</v>
      </c>
      <c r="AI38" s="142">
        <v>44926</v>
      </c>
      <c r="AJ38" s="119" t="s">
        <v>40</v>
      </c>
      <c r="AK38" s="119" t="s">
        <v>40</v>
      </c>
    </row>
    <row r="39" spans="1:37" ht="99.95" customHeight="1" x14ac:dyDescent="0.25">
      <c r="A39" s="237">
        <v>17</v>
      </c>
      <c r="B39" s="194" t="s">
        <v>275</v>
      </c>
      <c r="C39" s="122" t="s">
        <v>118</v>
      </c>
      <c r="D39" s="122" t="s">
        <v>448</v>
      </c>
      <c r="E39" s="122" t="s">
        <v>449</v>
      </c>
      <c r="F39" s="154" t="s">
        <v>450</v>
      </c>
      <c r="G39" s="119" t="s">
        <v>108</v>
      </c>
      <c r="H39" s="110">
        <v>500</v>
      </c>
      <c r="I39" s="111" t="str">
        <f t="shared" si="79"/>
        <v>Media</v>
      </c>
      <c r="J39" s="219">
        <f t="shared" si="80"/>
        <v>0.6</v>
      </c>
      <c r="K39" s="121" t="s">
        <v>456</v>
      </c>
      <c r="L39" s="210" t="s">
        <v>137</v>
      </c>
      <c r="M39" s="219" t="str">
        <f>IF(NOT(ISERROR(MATCH(L39,'[4]Tabla Impacto'!$B$221:$B$223,0))),'[4]Tabla Impacto'!$F$223&amp;"Por favor no seleccionar los criterios de impacto(Afectación Económica o presupuestal y Pérdida Reputacional)",L39)</f>
        <v xml:space="preserve">     El riesgo afecta la imagen de la entidad con algunos usuarios de relevancia frente al logro de los objetivos</v>
      </c>
      <c r="N39" s="228" t="str">
        <f>IF(OR(M39='[2]Tabla Impacto'!$C$11,M39='[2]Tabla Impacto'!$D$11),"Leve",IF(OR(M39='[2]Tabla Impacto'!$C$12,M39='[2]Tabla Impacto'!$D$12),"Menor",IF(OR(M39='[2]Tabla Impacto'!$C$13,M39='[2]Tabla Impacto'!$D$13),"Moderado",IF(OR(M39='[2]Tabla Impacto'!$C$14,M39='[2]Tabla Impacto'!$D$14),"Mayor",IF(OR(M39='[2]Tabla Impacto'!$C$15,M39='[2]Tabla Impacto'!$D$15),"Catastrófico","")))))</f>
        <v>Moderado</v>
      </c>
      <c r="O39" s="219">
        <f t="shared" ref="O39" si="130">IF(N39="","",IF(N39="Leve",0.2,IF(N39="Menor",0.4,IF(N39="Moderado",0.6,IF(N39="Mayor",0.8,IF(N39="Catastrófico",1,))))))</f>
        <v>0.6</v>
      </c>
      <c r="P39" s="218" t="str">
        <f t="shared" ref="P39" si="131">IF(OR(AND(I39="Muy Baja",N39="Leve"),AND(I39="Muy Baja",N39="Menor"),AND(I39="Baja",N39="Leve")),"Bajo",IF(OR(AND(I39="Muy baja",N39="Moderado"),AND(I39="Baja",N39="Menor"),AND(I39="Baja",N39="Moderado"),AND(I39="Media",N39="Leve"),AND(I39="Media",N39="Menor"),AND(I39="Media",N39="Moderado"),AND(I39="Alta",N39="Leve"),AND(I39="Alta",N39="Menor")),"Moderado",IF(OR(AND(I39="Muy Baja",N39="Mayor"),AND(I39="Baja",N39="Mayor"),AND(I39="Media",N39="Mayor"),AND(I39="Alta",N39="Moderado"),AND(I39="Alta",N39="Mayor"),AND(I39="Muy Alta",N39="Leve"),AND(I39="Muy Alta",N39="Menor"),AND(I39="Muy Alta",N39="Moderado"),AND(I39="Muy Alta",N39="Mayor")),"Alto",IF(OR(AND(I39="Muy Baja",N39="Catastrófico"),AND(I39="Baja",N39="Catastrófico"),AND(I39="Media",N39="Catastrófico"),AND(I39="Alta",N39="Catastrófico"),AND(I39="Muy Alta",N39="Catastrófico")),"Extremo",""))))</f>
        <v>Moderado</v>
      </c>
      <c r="Q39" s="110">
        <v>1</v>
      </c>
      <c r="R39" s="119" t="s">
        <v>451</v>
      </c>
      <c r="S39" s="102" t="str">
        <f t="shared" ref="S39" si="132">IF(OR(T39="Preventivo",T39="Detectivo"),"Probabilidad",IF(T39="Correctivo","Impacto",""))</f>
        <v>Probabilidad</v>
      </c>
      <c r="T39" s="215" t="s">
        <v>13</v>
      </c>
      <c r="U39" s="215" t="s">
        <v>8</v>
      </c>
      <c r="V39" s="121" t="str">
        <f t="shared" ref="V39" si="133">IF(AND(T39="Preventivo",U39="Automático"),"50%",IF(AND(T39="Preventivo",U39="Manual"),"40%",IF(AND(T39="Detectivo",U39="Automático"),"40%",IF(AND(T39="Detectivo",U39="Manual"),"30%",IF(AND(T39="Correctivo",U39="Automático"),"35%",IF(AND(T39="Correctivo",U39="Manual"),"25%",""))))))</f>
        <v>40%</v>
      </c>
      <c r="W39" s="215" t="s">
        <v>18</v>
      </c>
      <c r="X39" s="215" t="s">
        <v>21</v>
      </c>
      <c r="Y39" s="215" t="s">
        <v>104</v>
      </c>
      <c r="Z39" s="103">
        <f t="shared" ref="Z39" si="134">IFERROR(IF(S39="Probabilidad",(J39-(+J39*V39)),IF(S39="Impacto",J39,"")),"")</f>
        <v>0.36</v>
      </c>
      <c r="AA39" s="92" t="str">
        <f t="shared" ref="AA39" si="135">IFERROR(IF(Z39="","",IF(Z39&lt;=0.2,"Muy Baja",IF(Z39&lt;=0.4,"Baja",IF(Z39&lt;=0.6,"Media",IF(Z39&lt;=0.8,"Alta","Muy Alta"))))),"")</f>
        <v>Baja</v>
      </c>
      <c r="AB39" s="219">
        <f t="shared" ref="AB39" si="136">+Z39</f>
        <v>0.36</v>
      </c>
      <c r="AC39" s="92" t="str">
        <f t="shared" ref="AC39" si="137">IFERROR(IF(AD39="","",IF(AD39&lt;=0.2,"Leve",IF(AD39&lt;=0.4,"Menor",IF(AD39&lt;=0.6,"Moderado",IF(AD39&lt;=0.8,"Mayor","Catastrófico"))))),"")</f>
        <v>Moderado</v>
      </c>
      <c r="AD39" s="219">
        <f t="shared" ref="AD39" si="138">IFERROR(IF(S39="Impacto",(O39-(+O39*V39)),IF(S39="Probabilidad",O39,"")),"")</f>
        <v>0.6</v>
      </c>
      <c r="AE39" s="104" t="str">
        <f t="shared" ref="AE39" si="139">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Moderado</v>
      </c>
      <c r="AF39" s="220" t="s">
        <v>120</v>
      </c>
      <c r="AG39" s="122" t="s">
        <v>446</v>
      </c>
      <c r="AH39" s="142">
        <v>44593</v>
      </c>
      <c r="AI39" s="142">
        <v>44926</v>
      </c>
      <c r="AJ39" s="119" t="s">
        <v>40</v>
      </c>
      <c r="AK39" s="119" t="s">
        <v>40</v>
      </c>
    </row>
    <row r="40" spans="1:37" ht="99.95" customHeight="1" x14ac:dyDescent="0.25">
      <c r="A40" s="237">
        <v>18</v>
      </c>
      <c r="B40" s="194" t="s">
        <v>275</v>
      </c>
      <c r="C40" s="122" t="s">
        <v>118</v>
      </c>
      <c r="D40" s="110" t="s">
        <v>452</v>
      </c>
      <c r="E40" s="110" t="s">
        <v>453</v>
      </c>
      <c r="F40" s="110" t="s">
        <v>454</v>
      </c>
      <c r="G40" s="119" t="s">
        <v>108</v>
      </c>
      <c r="H40" s="110">
        <v>500</v>
      </c>
      <c r="I40" s="111" t="str">
        <f t="shared" si="79"/>
        <v>Media</v>
      </c>
      <c r="J40" s="219">
        <f t="shared" si="80"/>
        <v>0.6</v>
      </c>
      <c r="K40" s="121" t="s">
        <v>456</v>
      </c>
      <c r="L40" s="210" t="s">
        <v>137</v>
      </c>
      <c r="M40" s="219" t="str">
        <f>IF(NOT(ISERROR(MATCH(L40,'[4]Tabla Impacto'!$B$221:$B$223,0))),'[4]Tabla Impacto'!$F$223&amp;"Por favor no seleccionar los criterios de impacto(Afectación Económica o presupuestal y Pérdida Reputacional)",L40)</f>
        <v xml:space="preserve">     El riesgo afecta la imagen de la entidad con algunos usuarios de relevancia frente al logro de los objetivos</v>
      </c>
      <c r="N40" s="228" t="str">
        <f>IF(OR(M40='[2]Tabla Impacto'!$C$11,M40='[2]Tabla Impacto'!$D$11),"Leve",IF(OR(M40='[2]Tabla Impacto'!$C$12,M40='[2]Tabla Impacto'!$D$12),"Menor",IF(OR(M40='[2]Tabla Impacto'!$C$13,M40='[2]Tabla Impacto'!$D$13),"Moderado",IF(OR(M40='[2]Tabla Impacto'!$C$14,M40='[2]Tabla Impacto'!$D$14),"Mayor",IF(OR(M40='[2]Tabla Impacto'!$C$15,M40='[2]Tabla Impacto'!$D$15),"Catastrófico","")))))</f>
        <v>Moderado</v>
      </c>
      <c r="O40" s="219">
        <f t="shared" ref="O40" si="140">IF(N40="","",IF(N40="Leve",0.2,IF(N40="Menor",0.4,IF(N40="Moderado",0.6,IF(N40="Mayor",0.8,IF(N40="Catastrófico",1,))))))</f>
        <v>0.6</v>
      </c>
      <c r="P40" s="218" t="str">
        <f t="shared" ref="P40" si="141">IF(OR(AND(I40="Muy Baja",N40="Leve"),AND(I40="Muy Baja",N40="Menor"),AND(I40="Baja",N40="Leve")),"Bajo",IF(OR(AND(I40="Muy baja",N40="Moderado"),AND(I40="Baja",N40="Menor"),AND(I40="Baja",N40="Moderado"),AND(I40="Media",N40="Leve"),AND(I40="Media",N40="Menor"),AND(I40="Media",N40="Moderado"),AND(I40="Alta",N40="Leve"),AND(I40="Alta",N40="Menor")),"Moderado",IF(OR(AND(I40="Muy Baja",N40="Mayor"),AND(I40="Baja",N40="Mayor"),AND(I40="Media",N40="Mayor"),AND(I40="Alta",N40="Moderado"),AND(I40="Alta",N40="Mayor"),AND(I40="Muy Alta",N40="Leve"),AND(I40="Muy Alta",N40="Menor"),AND(I40="Muy Alta",N40="Moderado"),AND(I40="Muy Alta",N40="Mayor")),"Alto",IF(OR(AND(I40="Muy Baja",N40="Catastrófico"),AND(I40="Baja",N40="Catastrófico"),AND(I40="Media",N40="Catastrófico"),AND(I40="Alta",N40="Catastrófico"),AND(I40="Muy Alta",N40="Catastrófico")),"Extremo",""))))</f>
        <v>Moderado</v>
      </c>
      <c r="Q40" s="110">
        <v>1</v>
      </c>
      <c r="R40" s="119" t="s">
        <v>457</v>
      </c>
      <c r="S40" s="102" t="str">
        <f t="shared" ref="S40" si="142">IF(OR(T40="Preventivo",T40="Detectivo"),"Probabilidad",IF(T40="Correctivo","Impacto",""))</f>
        <v>Probabilidad</v>
      </c>
      <c r="T40" s="215" t="s">
        <v>13</v>
      </c>
      <c r="U40" s="215" t="s">
        <v>8</v>
      </c>
      <c r="V40" s="121" t="str">
        <f t="shared" ref="V40" si="143">IF(AND(T40="Preventivo",U40="Automático"),"50%",IF(AND(T40="Preventivo",U40="Manual"),"40%",IF(AND(T40="Detectivo",U40="Automático"),"40%",IF(AND(T40="Detectivo",U40="Manual"),"30%",IF(AND(T40="Correctivo",U40="Automático"),"35%",IF(AND(T40="Correctivo",U40="Manual"),"25%",""))))))</f>
        <v>40%</v>
      </c>
      <c r="W40" s="215" t="s">
        <v>18</v>
      </c>
      <c r="X40" s="215" t="s">
        <v>21</v>
      </c>
      <c r="Y40" s="215" t="s">
        <v>104</v>
      </c>
      <c r="Z40" s="103">
        <f t="shared" ref="Z40" si="144">IFERROR(IF(S40="Probabilidad",(J40-(+J40*V40)),IF(S40="Impacto",J40,"")),"")</f>
        <v>0.36</v>
      </c>
      <c r="AA40" s="92" t="str">
        <f t="shared" ref="AA40" si="145">IFERROR(IF(Z40="","",IF(Z40&lt;=0.2,"Muy Baja",IF(Z40&lt;=0.4,"Baja",IF(Z40&lt;=0.6,"Media",IF(Z40&lt;=0.8,"Alta","Muy Alta"))))),"")</f>
        <v>Baja</v>
      </c>
      <c r="AB40" s="219">
        <f t="shared" ref="AB40" si="146">+Z40</f>
        <v>0.36</v>
      </c>
      <c r="AC40" s="92" t="str">
        <f t="shared" ref="AC40" si="147">IFERROR(IF(AD40="","",IF(AD40&lt;=0.2,"Leve",IF(AD40&lt;=0.4,"Menor",IF(AD40&lt;=0.6,"Moderado",IF(AD40&lt;=0.8,"Mayor","Catastrófico"))))),"")</f>
        <v>Moderado</v>
      </c>
      <c r="AD40" s="219">
        <f t="shared" ref="AD40" si="148">IFERROR(IF(S40="Impacto",(O40-(+O40*V40)),IF(S40="Probabilidad",O40,"")),"")</f>
        <v>0.6</v>
      </c>
      <c r="AE40" s="104" t="str">
        <f t="shared" ref="AE40" si="149">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Moderado</v>
      </c>
      <c r="AF40" s="220" t="s">
        <v>120</v>
      </c>
      <c r="AG40" s="122" t="s">
        <v>458</v>
      </c>
      <c r="AH40" s="142">
        <v>44593</v>
      </c>
      <c r="AI40" s="142">
        <v>44926</v>
      </c>
      <c r="AJ40" s="119" t="s">
        <v>40</v>
      </c>
      <c r="AK40" s="119" t="s">
        <v>40</v>
      </c>
    </row>
    <row r="41" spans="1:37" ht="99.75" customHeight="1" x14ac:dyDescent="0.25">
      <c r="A41" s="236">
        <v>19</v>
      </c>
      <c r="B41" s="194" t="s">
        <v>276</v>
      </c>
      <c r="C41" s="122" t="s">
        <v>116</v>
      </c>
      <c r="D41" s="119" t="s">
        <v>297</v>
      </c>
      <c r="E41" s="119" t="s">
        <v>299</v>
      </c>
      <c r="F41" s="119" t="s">
        <v>298</v>
      </c>
      <c r="G41" s="119" t="s">
        <v>108</v>
      </c>
      <c r="H41" s="122">
        <v>360</v>
      </c>
      <c r="I41" s="111" t="str">
        <f t="shared" si="79"/>
        <v>Media</v>
      </c>
      <c r="J41" s="219">
        <f t="shared" si="80"/>
        <v>0.6</v>
      </c>
      <c r="K41" s="121" t="s">
        <v>89</v>
      </c>
      <c r="L41" s="210" t="s">
        <v>138</v>
      </c>
      <c r="M41" s="219" t="str">
        <f>IF(NOT(ISERROR(MATCH(L41,'[4]Tabla Impacto'!$B$221:$B$223,0))),'[4]Tabla Impacto'!$F$223&amp;"Por favor no seleccionar los criterios de impacto(Afectación Económica o presupuestal y Pérdida Reputacional)",L41)</f>
        <v xml:space="preserve">     El riesgo afecta la imagen de de la entidad con efecto publicitario sostenido a nivel de sector administrativo, nivel departamental o municipal</v>
      </c>
      <c r="N41" s="228" t="str">
        <f>IF(OR(M41='[2]Tabla Impacto'!$C$11,M41='[2]Tabla Impacto'!$D$11),"Leve",IF(OR(M41='[2]Tabla Impacto'!$C$12,M41='[2]Tabla Impacto'!$D$12),"Menor",IF(OR(M41='[2]Tabla Impacto'!$C$13,M41='[2]Tabla Impacto'!$D$13),"Moderado",IF(OR(M41='[2]Tabla Impacto'!$C$14,M41='[2]Tabla Impacto'!$D$14),"Mayor",IF(OR(M41='[2]Tabla Impacto'!$C$15,M41='[2]Tabla Impacto'!$D$15),"Catastrófico","")))))</f>
        <v>Mayor</v>
      </c>
      <c r="O41" s="117">
        <f t="shared" ref="O41" si="150">IF(N41="","",IF(N41="Leve",0.2,IF(N41="Menor",0.4,IF(N41="Moderado",0.6,IF(N41="Mayor",0.8,IF(N41="Catastrófico",1,))))))</f>
        <v>0.8</v>
      </c>
      <c r="P41" s="233" t="str">
        <f t="shared" ref="P41" si="151">IF(OR(AND(I41="Muy Baja",N41="Leve"),AND(I41="Muy Baja",N41="Menor"),AND(I41="Baja",N41="Leve")),"Bajo",IF(OR(AND(I41="Muy baja",N41="Moderado"),AND(I41="Baja",N41="Menor"),AND(I41="Baja",N41="Moderado"),AND(I41="Media",N41="Leve"),AND(I41="Media",N41="Menor"),AND(I41="Media",N41="Moderado"),AND(I41="Alta",N41="Leve"),AND(I41="Alta",N41="Menor")),"Moderado",IF(OR(AND(I41="Muy Baja",N41="Mayor"),AND(I41="Baja",N41="Mayor"),AND(I41="Media",N41="Mayor"),AND(I41="Alta",N41="Moderado"),AND(I41="Alta",N41="Mayor"),AND(I41="Muy Alta",N41="Leve"),AND(I41="Muy Alta",N41="Menor"),AND(I41="Muy Alta",N41="Moderado"),AND(I41="Muy Alta",N41="Mayor")),"Alto",IF(OR(AND(I41="Muy Baja",N41="Catastrófico"),AND(I41="Baja",N41="Catastrófico"),AND(I41="Media",N41="Catastrófico"),AND(I41="Alta",N41="Catastrófico"),AND(I41="Muy Alta",N41="Catastrófico")),"Extremo",""))))</f>
        <v>Alto</v>
      </c>
      <c r="Q41" s="110">
        <v>1</v>
      </c>
      <c r="R41" s="225" t="s">
        <v>301</v>
      </c>
      <c r="S41" s="102" t="str">
        <f t="shared" ref="S41:S42" si="152">IF(OR(T41="Preventivo",T41="Detectivo"),"Probabilidad",IF(T41="Correctivo","Impacto",""))</f>
        <v>Probabilidad</v>
      </c>
      <c r="T41" s="215" t="s">
        <v>13</v>
      </c>
      <c r="U41" s="215" t="s">
        <v>8</v>
      </c>
      <c r="V41" s="121" t="str">
        <f t="shared" ref="V41:V42" si="153">IF(AND(T41="Preventivo",U41="Automático"),"50%",IF(AND(T41="Preventivo",U41="Manual"),"40%",IF(AND(T41="Detectivo",U41="Automático"),"40%",IF(AND(T41="Detectivo",U41="Manual"),"30%",IF(AND(T41="Correctivo",U41="Automático"),"35%",IF(AND(T41="Correctivo",U41="Manual"),"25%",""))))))</f>
        <v>40%</v>
      </c>
      <c r="W41" s="215" t="s">
        <v>18</v>
      </c>
      <c r="X41" s="215" t="s">
        <v>21</v>
      </c>
      <c r="Y41" s="215" t="s">
        <v>104</v>
      </c>
      <c r="Z41" s="103">
        <f t="shared" ref="Z41:Z42" si="154">IFERROR(IF(S41="Probabilidad",(J41-(+J41*V41)),IF(S41="Impacto",J41,"")),"")</f>
        <v>0.36</v>
      </c>
      <c r="AA41" s="92" t="str">
        <f t="shared" ref="AA41:AA42" si="155">IFERROR(IF(Z41="","",IF(Z41&lt;=0.2,"Muy Baja",IF(Z41&lt;=0.4,"Baja",IF(Z41&lt;=0.6,"Media",IF(Z41&lt;=0.8,"Alta","Muy Alta"))))),"")</f>
        <v>Baja</v>
      </c>
      <c r="AB41" s="219">
        <f t="shared" ref="AB41:AB42" si="156">+Z41</f>
        <v>0.36</v>
      </c>
      <c r="AC41" s="92" t="str">
        <f t="shared" ref="AC41:AC42" si="157">IFERROR(IF(AD41="","",IF(AD41&lt;=0.2,"Leve",IF(AD41&lt;=0.4,"Menor",IF(AD41&lt;=0.6,"Moderado",IF(AD41&lt;=0.8,"Mayor","Catastrófico"))))),"")</f>
        <v>Mayor</v>
      </c>
      <c r="AD41" s="219">
        <f t="shared" ref="AD41:AD42" si="158">IFERROR(IF(S41="Impacto",(O41-(+O41*V41)),IF(S41="Probabilidad",O41,"")),"")</f>
        <v>0.8</v>
      </c>
      <c r="AE41" s="104" t="str">
        <f t="shared" ref="AE41:AE42" si="159">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Alto</v>
      </c>
      <c r="AF41" s="220" t="s">
        <v>120</v>
      </c>
      <c r="AG41" s="119" t="s">
        <v>300</v>
      </c>
      <c r="AH41" s="142">
        <v>44593</v>
      </c>
      <c r="AI41" s="142">
        <v>44926</v>
      </c>
      <c r="AJ41" s="119" t="s">
        <v>40</v>
      </c>
      <c r="AK41" s="119" t="s">
        <v>40</v>
      </c>
    </row>
    <row r="42" spans="1:37" ht="99.75" customHeight="1" x14ac:dyDescent="0.25">
      <c r="A42" s="236">
        <v>20</v>
      </c>
      <c r="B42" s="194" t="s">
        <v>296</v>
      </c>
      <c r="C42" s="122" t="s">
        <v>116</v>
      </c>
      <c r="D42" s="122" t="s">
        <v>460</v>
      </c>
      <c r="E42" s="122" t="s">
        <v>459</v>
      </c>
      <c r="F42" s="119" t="s">
        <v>461</v>
      </c>
      <c r="G42" s="122" t="s">
        <v>113</v>
      </c>
      <c r="H42" s="122">
        <v>360</v>
      </c>
      <c r="I42" s="111" t="str">
        <f t="shared" si="79"/>
        <v>Media</v>
      </c>
      <c r="J42" s="219">
        <f t="shared" si="80"/>
        <v>0.6</v>
      </c>
      <c r="K42" s="121" t="s">
        <v>89</v>
      </c>
      <c r="L42" s="210" t="s">
        <v>138</v>
      </c>
      <c r="M42" s="219" t="str">
        <f>IF(NOT(ISERROR(MATCH(L42,'[4]Tabla Impacto'!$B$221:$B$223,0))),'[4]Tabla Impacto'!$F$223&amp;"Por favor no seleccionar los criterios de impacto(Afectación Económica o presupuestal y Pérdida Reputacional)",L42)</f>
        <v xml:space="preserve">     El riesgo afecta la imagen de de la entidad con efecto publicitario sostenido a nivel de sector administrativo, nivel departamental o municipal</v>
      </c>
      <c r="N42" s="120" t="str">
        <f>IF(OR(M42='[2]Tabla Impacto'!$C$11,M42='[2]Tabla Impacto'!$D$11),"Leve",IF(OR(M42='[2]Tabla Impacto'!$C$12,M42='[2]Tabla Impacto'!$D$12),"Menor",IF(OR(M42='[2]Tabla Impacto'!$C$13,M42='[2]Tabla Impacto'!$D$13),"Moderado",IF(OR(M42='[2]Tabla Impacto'!$C$14,M42='[2]Tabla Impacto'!$D$14),"Mayor",IF(OR(M42='[2]Tabla Impacto'!$C$15,M42='[2]Tabla Impacto'!$D$15),"Catastrófico","")))))</f>
        <v>Mayor</v>
      </c>
      <c r="O42" s="219">
        <f t="shared" ref="O42" si="160">IF(N42="","",IF(N42="Leve",0.2,IF(N42="Menor",0.4,IF(N42="Moderado",0.6,IF(N42="Mayor",0.8,IF(N42="Catastrófico",1,))))))</f>
        <v>0.8</v>
      </c>
      <c r="P42" s="218" t="str">
        <f t="shared" ref="P42" si="161">IF(OR(AND(I42="Muy Baja",N42="Leve"),AND(I42="Muy Baja",N42="Menor"),AND(I42="Baja",N42="Leve")),"Bajo",IF(OR(AND(I42="Muy baja",N42="Moderado"),AND(I42="Baja",N42="Menor"),AND(I42="Baja",N42="Moderado"),AND(I42="Media",N42="Leve"),AND(I42="Media",N42="Menor"),AND(I42="Media",N42="Moderado"),AND(I42="Alta",N42="Leve"),AND(I42="Alta",N42="Menor")),"Moderado",IF(OR(AND(I42="Muy Baja",N42="Mayor"),AND(I42="Baja",N42="Mayor"),AND(I42="Media",N42="Mayor"),AND(I42="Alta",N42="Moderado"),AND(I42="Alta",N42="Mayor"),AND(I42="Muy Alta",N42="Leve"),AND(I42="Muy Alta",N42="Menor"),AND(I42="Muy Alta",N42="Moderado"),AND(I42="Muy Alta",N42="Mayor")),"Alto",IF(OR(AND(I42="Muy Baja",N42="Catastrófico"),AND(I42="Baja",N42="Catastrófico"),AND(I42="Media",N42="Catastrófico"),AND(I42="Alta",N42="Catastrófico"),AND(I42="Muy Alta",N42="Catastrófico")),"Extremo",""))))</f>
        <v>Alto</v>
      </c>
      <c r="Q42" s="110">
        <v>1</v>
      </c>
      <c r="R42" s="119" t="s">
        <v>462</v>
      </c>
      <c r="S42" s="102" t="str">
        <f t="shared" si="152"/>
        <v>Probabilidad</v>
      </c>
      <c r="T42" s="215" t="s">
        <v>13</v>
      </c>
      <c r="U42" s="215" t="s">
        <v>8</v>
      </c>
      <c r="V42" s="121" t="str">
        <f t="shared" si="153"/>
        <v>40%</v>
      </c>
      <c r="W42" s="215" t="s">
        <v>18</v>
      </c>
      <c r="X42" s="215" t="s">
        <v>21</v>
      </c>
      <c r="Y42" s="215" t="s">
        <v>104</v>
      </c>
      <c r="Z42" s="103">
        <f t="shared" si="154"/>
        <v>0.36</v>
      </c>
      <c r="AA42" s="92" t="str">
        <f t="shared" si="155"/>
        <v>Baja</v>
      </c>
      <c r="AB42" s="219">
        <f t="shared" si="156"/>
        <v>0.36</v>
      </c>
      <c r="AC42" s="92" t="str">
        <f t="shared" si="157"/>
        <v>Mayor</v>
      </c>
      <c r="AD42" s="219">
        <f t="shared" si="158"/>
        <v>0.8</v>
      </c>
      <c r="AE42" s="104" t="str">
        <f t="shared" si="159"/>
        <v>Alto</v>
      </c>
      <c r="AF42" s="220" t="s">
        <v>120</v>
      </c>
      <c r="AG42" s="122" t="s">
        <v>474</v>
      </c>
      <c r="AH42" s="142">
        <v>44593</v>
      </c>
      <c r="AI42" s="142">
        <v>44926</v>
      </c>
      <c r="AJ42" s="119" t="s">
        <v>40</v>
      </c>
      <c r="AK42" s="119" t="s">
        <v>40</v>
      </c>
    </row>
    <row r="43" spans="1:37" ht="99.75" customHeight="1" x14ac:dyDescent="0.25">
      <c r="A43" s="236">
        <v>20</v>
      </c>
      <c r="B43" s="194" t="s">
        <v>296</v>
      </c>
      <c r="C43" s="122" t="s">
        <v>116</v>
      </c>
      <c r="D43" s="122" t="s">
        <v>460</v>
      </c>
      <c r="E43" s="122" t="s">
        <v>459</v>
      </c>
      <c r="F43" s="119" t="s">
        <v>461</v>
      </c>
      <c r="G43" s="122" t="s">
        <v>113</v>
      </c>
      <c r="H43" s="122">
        <v>360</v>
      </c>
      <c r="I43" s="111" t="str">
        <f t="shared" si="79"/>
        <v>Media</v>
      </c>
      <c r="J43" s="219">
        <f t="shared" si="80"/>
        <v>0.6</v>
      </c>
      <c r="K43" s="121" t="s">
        <v>89</v>
      </c>
      <c r="L43" s="210" t="s">
        <v>138</v>
      </c>
      <c r="M43" s="219" t="str">
        <f>IF(NOT(ISERROR(MATCH(L43,'[4]Tabla Impacto'!$B$221:$B$223,0))),'[4]Tabla Impacto'!$F$223&amp;"Por favor no seleccionar los criterios de impacto(Afectación Económica o presupuestal y Pérdida Reputacional)",L43)</f>
        <v xml:space="preserve">     El riesgo afecta la imagen de de la entidad con efecto publicitario sostenido a nivel de sector administrativo, nivel departamental o municipal</v>
      </c>
      <c r="N43" s="111"/>
      <c r="O43" s="219"/>
      <c r="P43" s="218"/>
      <c r="Q43" s="110">
        <v>2</v>
      </c>
      <c r="R43" s="119" t="s">
        <v>463</v>
      </c>
      <c r="S43" s="102" t="str">
        <f t="shared" ref="S43:S44" si="162">IF(OR(T43="Preventivo",T43="Detectivo"),"Probabilidad",IF(T43="Correctivo","Impacto",""))</f>
        <v>Probabilidad</v>
      </c>
      <c r="T43" s="215" t="s">
        <v>13</v>
      </c>
      <c r="U43" s="215" t="s">
        <v>8</v>
      </c>
      <c r="V43" s="121" t="str">
        <f t="shared" ref="V43:V44" si="163">IF(AND(T43="Preventivo",U43="Automático"),"50%",IF(AND(T43="Preventivo",U43="Manual"),"40%",IF(AND(T43="Detectivo",U43="Automático"),"40%",IF(AND(T43="Detectivo",U43="Manual"),"30%",IF(AND(T43="Correctivo",U43="Automático"),"35%",IF(AND(T43="Correctivo",U43="Manual"),"25%",""))))))</f>
        <v>40%</v>
      </c>
      <c r="W43" s="215" t="s">
        <v>18</v>
      </c>
      <c r="X43" s="215" t="s">
        <v>21</v>
      </c>
      <c r="Y43" s="215" t="s">
        <v>104</v>
      </c>
      <c r="Z43" s="103">
        <f>IFERROR(IF(AND(S42="Probabilidad",S43="Probabilidad"),(AB42-(+AB42*V43)),IF(S43="Probabilidad",(J42-(+J42*V43)),IF(S43="Impacto",AB42,""))),"")</f>
        <v>0.216</v>
      </c>
      <c r="AA43" s="92" t="str">
        <f t="shared" ref="AA43:AA44" si="164">IFERROR(IF(Z43="","",IF(Z43&lt;=0.2,"Muy Baja",IF(Z43&lt;=0.4,"Baja",IF(Z43&lt;=0.6,"Media",IF(Z43&lt;=0.8,"Alta","Muy Alta"))))),"")</f>
        <v>Baja</v>
      </c>
      <c r="AB43" s="219">
        <f t="shared" ref="AB43:AB44" si="165">+Z43</f>
        <v>0.216</v>
      </c>
      <c r="AC43" s="92" t="str">
        <f t="shared" ref="AC43:AC44" si="166">IFERROR(IF(AD43="","",IF(AD43&lt;=0.2,"Leve",IF(AD43&lt;=0.4,"Menor",IF(AD43&lt;=0.6,"Moderado",IF(AD43&lt;=0.8,"Mayor","Catastrófico"))))),"")</f>
        <v>Leve</v>
      </c>
      <c r="AD43" s="219">
        <f>IFERROR(IF(S43="Impacto",(O43-(+O43*V43)),IF(S43="Probabilidad",O43,"")),"")</f>
        <v>0</v>
      </c>
      <c r="AE43" s="104" t="str">
        <f t="shared" ref="AE43:AE44" si="167">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Bajo</v>
      </c>
      <c r="AF43" s="220" t="s">
        <v>120</v>
      </c>
      <c r="AG43" s="122" t="s">
        <v>474</v>
      </c>
      <c r="AH43" s="142">
        <v>44593</v>
      </c>
      <c r="AI43" s="142">
        <v>44926</v>
      </c>
      <c r="AJ43" s="119" t="s">
        <v>40</v>
      </c>
      <c r="AK43" s="119" t="s">
        <v>40</v>
      </c>
    </row>
    <row r="44" spans="1:37" ht="99.75" customHeight="1" x14ac:dyDescent="0.25">
      <c r="A44" s="236">
        <v>20</v>
      </c>
      <c r="B44" s="194" t="s">
        <v>296</v>
      </c>
      <c r="C44" s="122" t="s">
        <v>116</v>
      </c>
      <c r="D44" s="122" t="s">
        <v>460</v>
      </c>
      <c r="E44" s="122" t="s">
        <v>459</v>
      </c>
      <c r="F44" s="119" t="s">
        <v>461</v>
      </c>
      <c r="G44" s="122" t="s">
        <v>113</v>
      </c>
      <c r="H44" s="122">
        <v>360</v>
      </c>
      <c r="I44" s="111" t="str">
        <f t="shared" si="79"/>
        <v>Media</v>
      </c>
      <c r="J44" s="219">
        <f t="shared" si="80"/>
        <v>0.6</v>
      </c>
      <c r="K44" s="121" t="s">
        <v>89</v>
      </c>
      <c r="L44" s="210" t="s">
        <v>138</v>
      </c>
      <c r="M44" s="219" t="str">
        <f>IF(NOT(ISERROR(MATCH(L44,'[4]Tabla Impacto'!$B$221:$B$223,0))),'[4]Tabla Impacto'!$F$223&amp;"Por favor no seleccionar los criterios de impacto(Afectación Económica o presupuestal y Pérdida Reputacional)",L44)</f>
        <v xml:space="preserve">     El riesgo afecta la imagen de de la entidad con efecto publicitario sostenido a nivel de sector administrativo, nivel departamental o municipal</v>
      </c>
      <c r="N44" s="111"/>
      <c r="O44" s="219"/>
      <c r="P44" s="218"/>
      <c r="Q44" s="110">
        <v>3</v>
      </c>
      <c r="R44" s="119" t="s">
        <v>464</v>
      </c>
      <c r="S44" s="102" t="str">
        <f t="shared" si="162"/>
        <v>Probabilidad</v>
      </c>
      <c r="T44" s="215" t="s">
        <v>13</v>
      </c>
      <c r="U44" s="215" t="s">
        <v>9</v>
      </c>
      <c r="V44" s="121" t="str">
        <f t="shared" si="163"/>
        <v>50%</v>
      </c>
      <c r="W44" s="215" t="s">
        <v>18</v>
      </c>
      <c r="X44" s="215" t="s">
        <v>21</v>
      </c>
      <c r="Y44" s="215" t="s">
        <v>104</v>
      </c>
      <c r="Z44" s="103">
        <f>IFERROR(IF(AND(S43="Probabilidad",S44="Probabilidad"),(AB43-(+AB43*V44)),IF(S44="Probabilidad",(J43-(+J43*V44)),IF(S44="Impacto",AB43,""))),"")</f>
        <v>0.108</v>
      </c>
      <c r="AA44" s="92" t="str">
        <f t="shared" si="164"/>
        <v>Muy Baja</v>
      </c>
      <c r="AB44" s="219">
        <f t="shared" si="165"/>
        <v>0.108</v>
      </c>
      <c r="AC44" s="92" t="str">
        <f t="shared" si="166"/>
        <v>Leve</v>
      </c>
      <c r="AD44" s="219">
        <f>IFERROR(IF(S44="Impacto",(O44-(+O44*V44)),IF(S44="Probabilidad",O44,"")),"")</f>
        <v>0</v>
      </c>
      <c r="AE44" s="104" t="str">
        <f t="shared" si="167"/>
        <v>Bajo</v>
      </c>
      <c r="AF44" s="220" t="s">
        <v>120</v>
      </c>
      <c r="AG44" s="122" t="s">
        <v>474</v>
      </c>
      <c r="AH44" s="142">
        <v>44593</v>
      </c>
      <c r="AI44" s="142">
        <v>44926</v>
      </c>
      <c r="AJ44" s="119" t="s">
        <v>40</v>
      </c>
      <c r="AK44" s="119" t="s">
        <v>40</v>
      </c>
    </row>
  </sheetData>
  <dataConsolidate/>
  <mergeCells count="8">
    <mergeCell ref="AF3:AF4"/>
    <mergeCell ref="AG3:AG4"/>
    <mergeCell ref="AB3:AB4"/>
    <mergeCell ref="Z3:Z4"/>
    <mergeCell ref="AA3:AA4"/>
    <mergeCell ref="AC3:AC4"/>
    <mergeCell ref="AD3:AD4"/>
    <mergeCell ref="AE3:AE4"/>
  </mergeCells>
  <conditionalFormatting sqref="I5 I7">
    <cfRule type="cellIs" dxfId="1562" priority="1674" operator="equal">
      <formula>"Muy Alta"</formula>
    </cfRule>
    <cfRule type="cellIs" dxfId="1561" priority="1675" operator="equal">
      <formula>"Alta"</formula>
    </cfRule>
    <cfRule type="cellIs" dxfId="1560" priority="1676" operator="equal">
      <formula>"Media"</formula>
    </cfRule>
    <cfRule type="cellIs" dxfId="1559" priority="1677" operator="equal">
      <formula>"Baja"</formula>
    </cfRule>
    <cfRule type="cellIs" dxfId="1558" priority="1678" operator="equal">
      <formula>"Muy Baja"</formula>
    </cfRule>
  </conditionalFormatting>
  <conditionalFormatting sqref="AA5:AA6">
    <cfRule type="cellIs" dxfId="1557" priority="1660" operator="equal">
      <formula>"Muy Alta"</formula>
    </cfRule>
    <cfRule type="cellIs" dxfId="1556" priority="1661" operator="equal">
      <formula>"Alta"</formula>
    </cfRule>
    <cfRule type="cellIs" dxfId="1555" priority="1662" operator="equal">
      <formula>"Media"</formula>
    </cfRule>
    <cfRule type="cellIs" dxfId="1554" priority="1663" operator="equal">
      <formula>"Baja"</formula>
    </cfRule>
    <cfRule type="cellIs" dxfId="1553" priority="1664" operator="equal">
      <formula>"Muy Baja"</formula>
    </cfRule>
  </conditionalFormatting>
  <conditionalFormatting sqref="AC5:AC6">
    <cfRule type="cellIs" dxfId="1552" priority="1655" operator="equal">
      <formula>"Catastrófico"</formula>
    </cfRule>
    <cfRule type="cellIs" dxfId="1551" priority="1656" operator="equal">
      <formula>"Mayor"</formula>
    </cfRule>
    <cfRule type="cellIs" dxfId="1550" priority="1657" operator="equal">
      <formula>"Moderado"</formula>
    </cfRule>
    <cfRule type="cellIs" dxfId="1549" priority="1658" operator="equal">
      <formula>"Menor"</formula>
    </cfRule>
    <cfRule type="cellIs" dxfId="1548" priority="1659" operator="equal">
      <formula>"Leve"</formula>
    </cfRule>
  </conditionalFormatting>
  <conditionalFormatting sqref="AE5:AE6">
    <cfRule type="cellIs" dxfId="1547" priority="1651" operator="equal">
      <formula>"Extremo"</formula>
    </cfRule>
    <cfRule type="cellIs" dxfId="1546" priority="1652" operator="equal">
      <formula>"Alto"</formula>
    </cfRule>
    <cfRule type="cellIs" dxfId="1545" priority="1653" operator="equal">
      <formula>"Moderado"</formula>
    </cfRule>
    <cfRule type="cellIs" dxfId="1544" priority="1654" operator="equal">
      <formula>"Bajo"</formula>
    </cfRule>
  </conditionalFormatting>
  <conditionalFormatting sqref="I8">
    <cfRule type="cellIs" dxfId="1543" priority="1628" operator="equal">
      <formula>"Muy Alta"</formula>
    </cfRule>
    <cfRule type="cellIs" dxfId="1542" priority="1629" operator="equal">
      <formula>"Alta"</formula>
    </cfRule>
    <cfRule type="cellIs" dxfId="1541" priority="1630" operator="equal">
      <formula>"Media"</formula>
    </cfRule>
    <cfRule type="cellIs" dxfId="1540" priority="1631" operator="equal">
      <formula>"Baja"</formula>
    </cfRule>
    <cfRule type="cellIs" dxfId="1539" priority="1632" operator="equal">
      <formula>"Muy Baja"</formula>
    </cfRule>
  </conditionalFormatting>
  <conditionalFormatting sqref="AA8">
    <cfRule type="cellIs" dxfId="1538" priority="1619" operator="equal">
      <formula>"Muy Alta"</formula>
    </cfRule>
    <cfRule type="cellIs" dxfId="1537" priority="1620" operator="equal">
      <formula>"Alta"</formula>
    </cfRule>
    <cfRule type="cellIs" dxfId="1536" priority="1621" operator="equal">
      <formula>"Media"</formula>
    </cfRule>
    <cfRule type="cellIs" dxfId="1535" priority="1622" operator="equal">
      <formula>"Baja"</formula>
    </cfRule>
    <cfRule type="cellIs" dxfId="1534" priority="1623" operator="equal">
      <formula>"Muy Baja"</formula>
    </cfRule>
  </conditionalFormatting>
  <conditionalFormatting sqref="AC8">
    <cfRule type="cellIs" dxfId="1533" priority="1614" operator="equal">
      <formula>"Catastrófico"</formula>
    </cfRule>
    <cfRule type="cellIs" dxfId="1532" priority="1615" operator="equal">
      <formula>"Mayor"</formula>
    </cfRule>
    <cfRule type="cellIs" dxfId="1531" priority="1616" operator="equal">
      <formula>"Moderado"</formula>
    </cfRule>
    <cfRule type="cellIs" dxfId="1530" priority="1617" operator="equal">
      <formula>"Menor"</formula>
    </cfRule>
    <cfRule type="cellIs" dxfId="1529" priority="1618" operator="equal">
      <formula>"Leve"</formula>
    </cfRule>
  </conditionalFormatting>
  <conditionalFormatting sqref="AE8">
    <cfRule type="cellIs" dxfId="1528" priority="1610" operator="equal">
      <formula>"Extremo"</formula>
    </cfRule>
    <cfRule type="cellIs" dxfId="1527" priority="1611" operator="equal">
      <formula>"Alto"</formula>
    </cfRule>
    <cfRule type="cellIs" dxfId="1526" priority="1612" operator="equal">
      <formula>"Moderado"</formula>
    </cfRule>
    <cfRule type="cellIs" dxfId="1525" priority="1613" operator="equal">
      <formula>"Bajo"</formula>
    </cfRule>
  </conditionalFormatting>
  <conditionalFormatting sqref="I9">
    <cfRule type="cellIs" dxfId="1524" priority="1582" operator="equal">
      <formula>"Muy Alta"</formula>
    </cfRule>
    <cfRule type="cellIs" dxfId="1523" priority="1583" operator="equal">
      <formula>"Alta"</formula>
    </cfRule>
    <cfRule type="cellIs" dxfId="1522" priority="1584" operator="equal">
      <formula>"Media"</formula>
    </cfRule>
    <cfRule type="cellIs" dxfId="1521" priority="1585" operator="equal">
      <formula>"Baja"</formula>
    </cfRule>
    <cfRule type="cellIs" dxfId="1520" priority="1586" operator="equal">
      <formula>"Muy Baja"</formula>
    </cfRule>
  </conditionalFormatting>
  <conditionalFormatting sqref="AA9">
    <cfRule type="cellIs" dxfId="1519" priority="1573" operator="equal">
      <formula>"Muy Alta"</formula>
    </cfRule>
    <cfRule type="cellIs" dxfId="1518" priority="1574" operator="equal">
      <formula>"Alta"</formula>
    </cfRule>
    <cfRule type="cellIs" dxfId="1517" priority="1575" operator="equal">
      <formula>"Media"</formula>
    </cfRule>
    <cfRule type="cellIs" dxfId="1516" priority="1576" operator="equal">
      <formula>"Baja"</formula>
    </cfRule>
    <cfRule type="cellIs" dxfId="1515" priority="1577" operator="equal">
      <formula>"Muy Baja"</formula>
    </cfRule>
  </conditionalFormatting>
  <conditionalFormatting sqref="AC9">
    <cfRule type="cellIs" dxfId="1514" priority="1568" operator="equal">
      <formula>"Catastrófico"</formula>
    </cfRule>
    <cfRule type="cellIs" dxfId="1513" priority="1569" operator="equal">
      <formula>"Mayor"</formula>
    </cfRule>
    <cfRule type="cellIs" dxfId="1512" priority="1570" operator="equal">
      <formula>"Moderado"</formula>
    </cfRule>
    <cfRule type="cellIs" dxfId="1511" priority="1571" operator="equal">
      <formula>"Menor"</formula>
    </cfRule>
    <cfRule type="cellIs" dxfId="1510" priority="1572" operator="equal">
      <formula>"Leve"</formula>
    </cfRule>
  </conditionalFormatting>
  <conditionalFormatting sqref="AE9">
    <cfRule type="cellIs" dxfId="1509" priority="1564" operator="equal">
      <formula>"Extremo"</formula>
    </cfRule>
    <cfRule type="cellIs" dxfId="1508" priority="1565" operator="equal">
      <formula>"Alto"</formula>
    </cfRule>
    <cfRule type="cellIs" dxfId="1507" priority="1566" operator="equal">
      <formula>"Moderado"</formula>
    </cfRule>
    <cfRule type="cellIs" dxfId="1506" priority="1567" operator="equal">
      <formula>"Bajo"</formula>
    </cfRule>
  </conditionalFormatting>
  <conditionalFormatting sqref="I10">
    <cfRule type="cellIs" dxfId="1505" priority="1559" operator="equal">
      <formula>"Muy Alta"</formula>
    </cfRule>
    <cfRule type="cellIs" dxfId="1504" priority="1560" operator="equal">
      <formula>"Alta"</formula>
    </cfRule>
    <cfRule type="cellIs" dxfId="1503" priority="1561" operator="equal">
      <formula>"Media"</formula>
    </cfRule>
    <cfRule type="cellIs" dxfId="1502" priority="1562" operator="equal">
      <formula>"Baja"</formula>
    </cfRule>
    <cfRule type="cellIs" dxfId="1501" priority="1563" operator="equal">
      <formula>"Muy Baja"</formula>
    </cfRule>
  </conditionalFormatting>
  <conditionalFormatting sqref="AA10:AA11">
    <cfRule type="cellIs" dxfId="1500" priority="1550" operator="equal">
      <formula>"Muy Alta"</formula>
    </cfRule>
    <cfRule type="cellIs" dxfId="1499" priority="1551" operator="equal">
      <formula>"Alta"</formula>
    </cfRule>
    <cfRule type="cellIs" dxfId="1498" priority="1552" operator="equal">
      <formula>"Media"</formula>
    </cfRule>
    <cfRule type="cellIs" dxfId="1497" priority="1553" operator="equal">
      <formula>"Baja"</formula>
    </cfRule>
    <cfRule type="cellIs" dxfId="1496" priority="1554" operator="equal">
      <formula>"Muy Baja"</formula>
    </cfRule>
  </conditionalFormatting>
  <conditionalFormatting sqref="AC10:AC11">
    <cfRule type="cellIs" dxfId="1495" priority="1545" operator="equal">
      <formula>"Catastrófico"</formula>
    </cfRule>
    <cfRule type="cellIs" dxfId="1494" priority="1546" operator="equal">
      <formula>"Mayor"</formula>
    </cfRule>
    <cfRule type="cellIs" dxfId="1493" priority="1547" operator="equal">
      <formula>"Moderado"</formula>
    </cfRule>
    <cfRule type="cellIs" dxfId="1492" priority="1548" operator="equal">
      <formula>"Menor"</formula>
    </cfRule>
    <cfRule type="cellIs" dxfId="1491" priority="1549" operator="equal">
      <formula>"Leve"</formula>
    </cfRule>
  </conditionalFormatting>
  <conditionalFormatting sqref="AE10:AE11">
    <cfRule type="cellIs" dxfId="1490" priority="1541" operator="equal">
      <formula>"Extremo"</formula>
    </cfRule>
    <cfRule type="cellIs" dxfId="1489" priority="1542" operator="equal">
      <formula>"Alto"</formula>
    </cfRule>
    <cfRule type="cellIs" dxfId="1488" priority="1543" operator="equal">
      <formula>"Moderado"</formula>
    </cfRule>
    <cfRule type="cellIs" dxfId="1487" priority="1544" operator="equal">
      <formula>"Bajo"</formula>
    </cfRule>
  </conditionalFormatting>
  <conditionalFormatting sqref="I12">
    <cfRule type="cellIs" dxfId="1486" priority="1536" operator="equal">
      <formula>"Muy Alta"</formula>
    </cfRule>
    <cfRule type="cellIs" dxfId="1485" priority="1537" operator="equal">
      <formula>"Alta"</formula>
    </cfRule>
    <cfRule type="cellIs" dxfId="1484" priority="1538" operator="equal">
      <formula>"Media"</formula>
    </cfRule>
    <cfRule type="cellIs" dxfId="1483" priority="1539" operator="equal">
      <formula>"Baja"</formula>
    </cfRule>
    <cfRule type="cellIs" dxfId="1482" priority="1540" operator="equal">
      <formula>"Muy Baja"</formula>
    </cfRule>
  </conditionalFormatting>
  <conditionalFormatting sqref="AA13:AA14">
    <cfRule type="cellIs" dxfId="1481" priority="1527" operator="equal">
      <formula>"Muy Alta"</formula>
    </cfRule>
    <cfRule type="cellIs" dxfId="1480" priority="1528" operator="equal">
      <formula>"Alta"</formula>
    </cfRule>
    <cfRule type="cellIs" dxfId="1479" priority="1529" operator="equal">
      <formula>"Media"</formula>
    </cfRule>
    <cfRule type="cellIs" dxfId="1478" priority="1530" operator="equal">
      <formula>"Baja"</formula>
    </cfRule>
    <cfRule type="cellIs" dxfId="1477" priority="1531" operator="equal">
      <formula>"Muy Baja"</formula>
    </cfRule>
  </conditionalFormatting>
  <conditionalFormatting sqref="AC13:AC14">
    <cfRule type="cellIs" dxfId="1476" priority="1522" operator="equal">
      <formula>"Catastrófico"</formula>
    </cfRule>
    <cfRule type="cellIs" dxfId="1475" priority="1523" operator="equal">
      <formula>"Mayor"</formula>
    </cfRule>
    <cfRule type="cellIs" dxfId="1474" priority="1524" operator="equal">
      <formula>"Moderado"</formula>
    </cfRule>
    <cfRule type="cellIs" dxfId="1473" priority="1525" operator="equal">
      <formula>"Menor"</formula>
    </cfRule>
    <cfRule type="cellIs" dxfId="1472" priority="1526" operator="equal">
      <formula>"Leve"</formula>
    </cfRule>
  </conditionalFormatting>
  <conditionalFormatting sqref="AE13:AE14">
    <cfRule type="cellIs" dxfId="1471" priority="1518" operator="equal">
      <formula>"Extremo"</formula>
    </cfRule>
    <cfRule type="cellIs" dxfId="1470" priority="1519" operator="equal">
      <formula>"Alto"</formula>
    </cfRule>
    <cfRule type="cellIs" dxfId="1469" priority="1520" operator="equal">
      <formula>"Moderado"</formula>
    </cfRule>
    <cfRule type="cellIs" dxfId="1468" priority="1521" operator="equal">
      <formula>"Bajo"</formula>
    </cfRule>
  </conditionalFormatting>
  <conditionalFormatting sqref="I15">
    <cfRule type="cellIs" dxfId="1467" priority="1513" operator="equal">
      <formula>"Muy Alta"</formula>
    </cfRule>
    <cfRule type="cellIs" dxfId="1466" priority="1514" operator="equal">
      <formula>"Alta"</formula>
    </cfRule>
    <cfRule type="cellIs" dxfId="1465" priority="1515" operator="equal">
      <formula>"Media"</formula>
    </cfRule>
    <cfRule type="cellIs" dxfId="1464" priority="1516" operator="equal">
      <formula>"Baja"</formula>
    </cfRule>
    <cfRule type="cellIs" dxfId="1463" priority="1517" operator="equal">
      <formula>"Muy Baja"</formula>
    </cfRule>
  </conditionalFormatting>
  <conditionalFormatting sqref="AA16:AA18">
    <cfRule type="cellIs" dxfId="1462" priority="1504" operator="equal">
      <formula>"Muy Alta"</formula>
    </cfRule>
    <cfRule type="cellIs" dxfId="1461" priority="1505" operator="equal">
      <formula>"Alta"</formula>
    </cfRule>
    <cfRule type="cellIs" dxfId="1460" priority="1506" operator="equal">
      <formula>"Media"</formula>
    </cfRule>
    <cfRule type="cellIs" dxfId="1459" priority="1507" operator="equal">
      <formula>"Baja"</formula>
    </cfRule>
    <cfRule type="cellIs" dxfId="1458" priority="1508" operator="equal">
      <formula>"Muy Baja"</formula>
    </cfRule>
  </conditionalFormatting>
  <conditionalFormatting sqref="AC16:AC18">
    <cfRule type="cellIs" dxfId="1457" priority="1499" operator="equal">
      <formula>"Catastrófico"</formula>
    </cfRule>
    <cfRule type="cellIs" dxfId="1456" priority="1500" operator="equal">
      <formula>"Mayor"</formula>
    </cfRule>
    <cfRule type="cellIs" dxfId="1455" priority="1501" operator="equal">
      <formula>"Moderado"</formula>
    </cfRule>
    <cfRule type="cellIs" dxfId="1454" priority="1502" operator="equal">
      <formula>"Menor"</formula>
    </cfRule>
    <cfRule type="cellIs" dxfId="1453" priority="1503" operator="equal">
      <formula>"Leve"</formula>
    </cfRule>
  </conditionalFormatting>
  <conditionalFormatting sqref="AE16:AE18">
    <cfRule type="cellIs" dxfId="1452" priority="1495" operator="equal">
      <formula>"Extremo"</formula>
    </cfRule>
    <cfRule type="cellIs" dxfId="1451" priority="1496" operator="equal">
      <formula>"Alto"</formula>
    </cfRule>
    <cfRule type="cellIs" dxfId="1450" priority="1497" operator="equal">
      <formula>"Moderado"</formula>
    </cfRule>
    <cfRule type="cellIs" dxfId="1449" priority="1498" operator="equal">
      <formula>"Bajo"</formula>
    </cfRule>
  </conditionalFormatting>
  <conditionalFormatting sqref="M5 M12 M15 M27 M7:M8 M10 M19:M21">
    <cfRule type="containsText" dxfId="1448" priority="1448" operator="containsText" text="❌">
      <formula>NOT(ISERROR(SEARCH("❌",M5)))</formula>
    </cfRule>
  </conditionalFormatting>
  <conditionalFormatting sqref="I22">
    <cfRule type="cellIs" dxfId="1447" priority="1440" operator="equal">
      <formula>"Muy Alta"</formula>
    </cfRule>
    <cfRule type="cellIs" dxfId="1446" priority="1441" operator="equal">
      <formula>"Alta"</formula>
    </cfRule>
    <cfRule type="cellIs" dxfId="1445" priority="1442" operator="equal">
      <formula>"Media"</formula>
    </cfRule>
    <cfRule type="cellIs" dxfId="1444" priority="1443" operator="equal">
      <formula>"Baja"</formula>
    </cfRule>
    <cfRule type="cellIs" dxfId="1443" priority="1444" operator="equal">
      <formula>"Muy Baja"</formula>
    </cfRule>
  </conditionalFormatting>
  <conditionalFormatting sqref="N23">
    <cfRule type="cellIs" dxfId="1442" priority="1430" operator="equal">
      <formula>"Catastrófico"</formula>
    </cfRule>
    <cfRule type="cellIs" dxfId="1441" priority="1431" operator="equal">
      <formula>"Mayor"</formula>
    </cfRule>
    <cfRule type="cellIs" dxfId="1440" priority="1432" operator="equal">
      <formula>"Moderado"</formula>
    </cfRule>
    <cfRule type="cellIs" dxfId="1439" priority="1433" operator="equal">
      <formula>"Menor"</formula>
    </cfRule>
    <cfRule type="cellIs" dxfId="1438" priority="1434" operator="equal">
      <formula>"Leve"</formula>
    </cfRule>
  </conditionalFormatting>
  <conditionalFormatting sqref="P23">
    <cfRule type="cellIs" dxfId="1437" priority="1426" operator="equal">
      <formula>"Extremo"</formula>
    </cfRule>
    <cfRule type="cellIs" dxfId="1436" priority="1427" operator="equal">
      <formula>"Alto"</formula>
    </cfRule>
    <cfRule type="cellIs" dxfId="1435" priority="1428" operator="equal">
      <formula>"Moderado"</formula>
    </cfRule>
    <cfRule type="cellIs" dxfId="1434" priority="1429" operator="equal">
      <formula>"Bajo"</formula>
    </cfRule>
  </conditionalFormatting>
  <conditionalFormatting sqref="AA23:AA25">
    <cfRule type="cellIs" dxfId="1433" priority="1421" operator="equal">
      <formula>"Muy Alta"</formula>
    </cfRule>
    <cfRule type="cellIs" dxfId="1432" priority="1422" operator="equal">
      <formula>"Alta"</formula>
    </cfRule>
    <cfRule type="cellIs" dxfId="1431" priority="1423" operator="equal">
      <formula>"Media"</formula>
    </cfRule>
    <cfRule type="cellIs" dxfId="1430" priority="1424" operator="equal">
      <formula>"Baja"</formula>
    </cfRule>
    <cfRule type="cellIs" dxfId="1429" priority="1425" operator="equal">
      <formula>"Muy Baja"</formula>
    </cfRule>
  </conditionalFormatting>
  <conditionalFormatting sqref="AC23:AC25">
    <cfRule type="cellIs" dxfId="1428" priority="1416" operator="equal">
      <formula>"Catastrófico"</formula>
    </cfRule>
    <cfRule type="cellIs" dxfId="1427" priority="1417" operator="equal">
      <formula>"Mayor"</formula>
    </cfRule>
    <cfRule type="cellIs" dxfId="1426" priority="1418" operator="equal">
      <formula>"Moderado"</formula>
    </cfRule>
    <cfRule type="cellIs" dxfId="1425" priority="1419" operator="equal">
      <formula>"Menor"</formula>
    </cfRule>
    <cfRule type="cellIs" dxfId="1424" priority="1420" operator="equal">
      <formula>"Leve"</formula>
    </cfRule>
  </conditionalFormatting>
  <conditionalFormatting sqref="AE23:AE25">
    <cfRule type="cellIs" dxfId="1423" priority="1412" operator="equal">
      <formula>"Extremo"</formula>
    </cfRule>
    <cfRule type="cellIs" dxfId="1422" priority="1413" operator="equal">
      <formula>"Alto"</formula>
    </cfRule>
    <cfRule type="cellIs" dxfId="1421" priority="1414" operator="equal">
      <formula>"Moderado"</formula>
    </cfRule>
    <cfRule type="cellIs" dxfId="1420" priority="1415" operator="equal">
      <formula>"Bajo"</formula>
    </cfRule>
  </conditionalFormatting>
  <conditionalFormatting sqref="I19">
    <cfRule type="cellIs" dxfId="1419" priority="1407" operator="equal">
      <formula>"Muy Alta"</formula>
    </cfRule>
    <cfRule type="cellIs" dxfId="1418" priority="1408" operator="equal">
      <formula>"Alta"</formula>
    </cfRule>
    <cfRule type="cellIs" dxfId="1417" priority="1409" operator="equal">
      <formula>"Media"</formula>
    </cfRule>
    <cfRule type="cellIs" dxfId="1416" priority="1410" operator="equal">
      <formula>"Baja"</formula>
    </cfRule>
    <cfRule type="cellIs" dxfId="1415" priority="1411" operator="equal">
      <formula>"Muy Baja"</formula>
    </cfRule>
  </conditionalFormatting>
  <conditionalFormatting sqref="I21">
    <cfRule type="cellIs" dxfId="1414" priority="1388" operator="equal">
      <formula>"Muy Alta"</formula>
    </cfRule>
    <cfRule type="cellIs" dxfId="1413" priority="1389" operator="equal">
      <formula>"Alta"</formula>
    </cfRule>
    <cfRule type="cellIs" dxfId="1412" priority="1390" operator="equal">
      <formula>"Media"</formula>
    </cfRule>
    <cfRule type="cellIs" dxfId="1411" priority="1391" operator="equal">
      <formula>"Baja"</formula>
    </cfRule>
    <cfRule type="cellIs" dxfId="1410" priority="1392" operator="equal">
      <formula>"Muy Baja"</formula>
    </cfRule>
  </conditionalFormatting>
  <conditionalFormatting sqref="AC23">
    <cfRule type="cellIs" dxfId="1409" priority="1383" operator="equal">
      <formula>"Catastrófico"</formula>
    </cfRule>
    <cfRule type="cellIs" dxfId="1408" priority="1384" operator="equal">
      <formula>"Mayor"</formula>
    </cfRule>
    <cfRule type="cellIs" dxfId="1407" priority="1385" operator="equal">
      <formula>"Moderado"</formula>
    </cfRule>
    <cfRule type="cellIs" dxfId="1406" priority="1386" operator="equal">
      <formula>"Menor"</formula>
    </cfRule>
    <cfRule type="cellIs" dxfId="1405" priority="1387" operator="equal">
      <formula>"Leve"</formula>
    </cfRule>
  </conditionalFormatting>
  <conditionalFormatting sqref="AE23">
    <cfRule type="cellIs" dxfId="1404" priority="1379" operator="equal">
      <formula>"Extremo"</formula>
    </cfRule>
    <cfRule type="cellIs" dxfId="1403" priority="1380" operator="equal">
      <formula>"Alto"</formula>
    </cfRule>
    <cfRule type="cellIs" dxfId="1402" priority="1381" operator="equal">
      <formula>"Moderado"</formula>
    </cfRule>
    <cfRule type="cellIs" dxfId="1401" priority="1382" operator="equal">
      <formula>"Bajo"</formula>
    </cfRule>
  </conditionalFormatting>
  <conditionalFormatting sqref="M26">
    <cfRule type="containsText" dxfId="1400" priority="1355" operator="containsText" text="❌">
      <formula>NOT(ISERROR(SEARCH("❌",M26)))</formula>
    </cfRule>
  </conditionalFormatting>
  <conditionalFormatting sqref="I26">
    <cfRule type="cellIs" dxfId="1399" priority="1350" operator="equal">
      <formula>"Muy Alta"</formula>
    </cfRule>
    <cfRule type="cellIs" dxfId="1398" priority="1351" operator="equal">
      <formula>"Alta"</formula>
    </cfRule>
    <cfRule type="cellIs" dxfId="1397" priority="1352" operator="equal">
      <formula>"Media"</formula>
    </cfRule>
    <cfRule type="cellIs" dxfId="1396" priority="1353" operator="equal">
      <formula>"Baja"</formula>
    </cfRule>
    <cfRule type="cellIs" dxfId="1395" priority="1354" operator="equal">
      <formula>"Muy Baja"</formula>
    </cfRule>
  </conditionalFormatting>
  <conditionalFormatting sqref="I27 I29">
    <cfRule type="cellIs" dxfId="1394" priority="1345" operator="equal">
      <formula>"Muy Alta"</formula>
    </cfRule>
    <cfRule type="cellIs" dxfId="1393" priority="1346" operator="equal">
      <formula>"Alta"</formula>
    </cfRule>
    <cfRule type="cellIs" dxfId="1392" priority="1347" operator="equal">
      <formula>"Media"</formula>
    </cfRule>
    <cfRule type="cellIs" dxfId="1391" priority="1348" operator="equal">
      <formula>"Baja"</formula>
    </cfRule>
    <cfRule type="cellIs" dxfId="1390" priority="1349" operator="equal">
      <formula>"Muy Baja"</formula>
    </cfRule>
  </conditionalFormatting>
  <conditionalFormatting sqref="I31">
    <cfRule type="cellIs" dxfId="1389" priority="1303" operator="equal">
      <formula>"Muy Alta"</formula>
    </cfRule>
    <cfRule type="cellIs" dxfId="1388" priority="1304" operator="equal">
      <formula>"Alta"</formula>
    </cfRule>
    <cfRule type="cellIs" dxfId="1387" priority="1305" operator="equal">
      <formula>"Media"</formula>
    </cfRule>
    <cfRule type="cellIs" dxfId="1386" priority="1306" operator="equal">
      <formula>"Baja"</formula>
    </cfRule>
    <cfRule type="cellIs" dxfId="1385" priority="1307" operator="equal">
      <formula>"Muy Baja"</formula>
    </cfRule>
  </conditionalFormatting>
  <conditionalFormatting sqref="M31">
    <cfRule type="containsText" dxfId="1384" priority="1293" operator="containsText" text="❌">
      <formula>NOT(ISERROR(SEARCH("❌",M31)))</formula>
    </cfRule>
  </conditionalFormatting>
  <conditionalFormatting sqref="AA31">
    <cfRule type="cellIs" dxfId="1383" priority="1288" operator="equal">
      <formula>"Muy Alta"</formula>
    </cfRule>
    <cfRule type="cellIs" dxfId="1382" priority="1289" operator="equal">
      <formula>"Alta"</formula>
    </cfRule>
    <cfRule type="cellIs" dxfId="1381" priority="1290" operator="equal">
      <formula>"Media"</formula>
    </cfRule>
    <cfRule type="cellIs" dxfId="1380" priority="1291" operator="equal">
      <formula>"Baja"</formula>
    </cfRule>
    <cfRule type="cellIs" dxfId="1379" priority="1292" operator="equal">
      <formula>"Muy Baja"</formula>
    </cfRule>
  </conditionalFormatting>
  <conditionalFormatting sqref="AC31">
    <cfRule type="cellIs" dxfId="1378" priority="1283" operator="equal">
      <formula>"Catastrófico"</formula>
    </cfRule>
    <cfRule type="cellIs" dxfId="1377" priority="1284" operator="equal">
      <formula>"Mayor"</formula>
    </cfRule>
    <cfRule type="cellIs" dxfId="1376" priority="1285" operator="equal">
      <formula>"Moderado"</formula>
    </cfRule>
    <cfRule type="cellIs" dxfId="1375" priority="1286" operator="equal">
      <formula>"Menor"</formula>
    </cfRule>
    <cfRule type="cellIs" dxfId="1374" priority="1287" operator="equal">
      <formula>"Leve"</formula>
    </cfRule>
  </conditionalFormatting>
  <conditionalFormatting sqref="AE31">
    <cfRule type="cellIs" dxfId="1373" priority="1279" operator="equal">
      <formula>"Extremo"</formula>
    </cfRule>
    <cfRule type="cellIs" dxfId="1372" priority="1280" operator="equal">
      <formula>"Alto"</formula>
    </cfRule>
    <cfRule type="cellIs" dxfId="1371" priority="1281" operator="equal">
      <formula>"Moderado"</formula>
    </cfRule>
    <cfRule type="cellIs" dxfId="1370" priority="1282" operator="equal">
      <formula>"Bajo"</formula>
    </cfRule>
  </conditionalFormatting>
  <conditionalFormatting sqref="I32">
    <cfRule type="cellIs" dxfId="1369" priority="1246" operator="equal">
      <formula>"Muy Alta"</formula>
    </cfRule>
    <cfRule type="cellIs" dxfId="1368" priority="1247" operator="equal">
      <formula>"Alta"</formula>
    </cfRule>
    <cfRule type="cellIs" dxfId="1367" priority="1248" operator="equal">
      <formula>"Media"</formula>
    </cfRule>
    <cfRule type="cellIs" dxfId="1366" priority="1249" operator="equal">
      <formula>"Baja"</formula>
    </cfRule>
    <cfRule type="cellIs" dxfId="1365" priority="1250" operator="equal">
      <formula>"Muy Baja"</formula>
    </cfRule>
  </conditionalFormatting>
  <conditionalFormatting sqref="M32">
    <cfRule type="containsText" dxfId="1364" priority="1236" operator="containsText" text="❌">
      <formula>NOT(ISERROR(SEARCH("❌",M32)))</formula>
    </cfRule>
  </conditionalFormatting>
  <conditionalFormatting sqref="AA33">
    <cfRule type="cellIs" dxfId="1363" priority="1217" operator="equal">
      <formula>"Muy Alta"</formula>
    </cfRule>
    <cfRule type="cellIs" dxfId="1362" priority="1218" operator="equal">
      <formula>"Alta"</formula>
    </cfRule>
    <cfRule type="cellIs" dxfId="1361" priority="1219" operator="equal">
      <formula>"Media"</formula>
    </cfRule>
    <cfRule type="cellIs" dxfId="1360" priority="1220" operator="equal">
      <formula>"Baja"</formula>
    </cfRule>
    <cfRule type="cellIs" dxfId="1359" priority="1221" operator="equal">
      <formula>"Muy Baja"</formula>
    </cfRule>
  </conditionalFormatting>
  <conditionalFormatting sqref="AC33">
    <cfRule type="cellIs" dxfId="1358" priority="1212" operator="equal">
      <formula>"Catastrófico"</formula>
    </cfRule>
    <cfRule type="cellIs" dxfId="1357" priority="1213" operator="equal">
      <formula>"Mayor"</formula>
    </cfRule>
    <cfRule type="cellIs" dxfId="1356" priority="1214" operator="equal">
      <formula>"Moderado"</formula>
    </cfRule>
    <cfRule type="cellIs" dxfId="1355" priority="1215" operator="equal">
      <formula>"Menor"</formula>
    </cfRule>
    <cfRule type="cellIs" dxfId="1354" priority="1216" operator="equal">
      <formula>"Leve"</formula>
    </cfRule>
  </conditionalFormatting>
  <conditionalFormatting sqref="AE33">
    <cfRule type="cellIs" dxfId="1353" priority="1208" operator="equal">
      <formula>"Extremo"</formula>
    </cfRule>
    <cfRule type="cellIs" dxfId="1352" priority="1209" operator="equal">
      <formula>"Alto"</formula>
    </cfRule>
    <cfRule type="cellIs" dxfId="1351" priority="1210" operator="equal">
      <formula>"Moderado"</formula>
    </cfRule>
    <cfRule type="cellIs" dxfId="1350" priority="1211" operator="equal">
      <formula>"Bajo"</formula>
    </cfRule>
  </conditionalFormatting>
  <conditionalFormatting sqref="AA34">
    <cfRule type="cellIs" dxfId="1349" priority="1203" operator="equal">
      <formula>"Muy Alta"</formula>
    </cfRule>
    <cfRule type="cellIs" dxfId="1348" priority="1204" operator="equal">
      <formula>"Alta"</formula>
    </cfRule>
    <cfRule type="cellIs" dxfId="1347" priority="1205" operator="equal">
      <formula>"Media"</formula>
    </cfRule>
    <cfRule type="cellIs" dxfId="1346" priority="1206" operator="equal">
      <formula>"Baja"</formula>
    </cfRule>
    <cfRule type="cellIs" dxfId="1345" priority="1207" operator="equal">
      <formula>"Muy Baja"</formula>
    </cfRule>
  </conditionalFormatting>
  <conditionalFormatting sqref="AC34">
    <cfRule type="cellIs" dxfId="1344" priority="1198" operator="equal">
      <formula>"Catastrófico"</formula>
    </cfRule>
    <cfRule type="cellIs" dxfId="1343" priority="1199" operator="equal">
      <formula>"Mayor"</formula>
    </cfRule>
    <cfRule type="cellIs" dxfId="1342" priority="1200" operator="equal">
      <formula>"Moderado"</formula>
    </cfRule>
    <cfRule type="cellIs" dxfId="1341" priority="1201" operator="equal">
      <formula>"Menor"</formula>
    </cfRule>
    <cfRule type="cellIs" dxfId="1340" priority="1202" operator="equal">
      <formula>"Leve"</formula>
    </cfRule>
  </conditionalFormatting>
  <conditionalFormatting sqref="AE34">
    <cfRule type="cellIs" dxfId="1339" priority="1194" operator="equal">
      <formula>"Extremo"</formula>
    </cfRule>
    <cfRule type="cellIs" dxfId="1338" priority="1195" operator="equal">
      <formula>"Alto"</formula>
    </cfRule>
    <cfRule type="cellIs" dxfId="1337" priority="1196" operator="equal">
      <formula>"Moderado"</formula>
    </cfRule>
    <cfRule type="cellIs" dxfId="1336" priority="1197" operator="equal">
      <formula>"Bajo"</formula>
    </cfRule>
  </conditionalFormatting>
  <conditionalFormatting sqref="I35">
    <cfRule type="cellIs" dxfId="1335" priority="1189" operator="equal">
      <formula>"Muy Alta"</formula>
    </cfRule>
    <cfRule type="cellIs" dxfId="1334" priority="1190" operator="equal">
      <formula>"Alta"</formula>
    </cfRule>
    <cfRule type="cellIs" dxfId="1333" priority="1191" operator="equal">
      <formula>"Media"</formula>
    </cfRule>
    <cfRule type="cellIs" dxfId="1332" priority="1192" operator="equal">
      <formula>"Baja"</formula>
    </cfRule>
    <cfRule type="cellIs" dxfId="1331" priority="1193" operator="equal">
      <formula>"Muy Baja"</formula>
    </cfRule>
  </conditionalFormatting>
  <conditionalFormatting sqref="AA35">
    <cfRule type="cellIs" dxfId="1330" priority="1174" operator="equal">
      <formula>"Muy Alta"</formula>
    </cfRule>
    <cfRule type="cellIs" dxfId="1329" priority="1175" operator="equal">
      <formula>"Alta"</formula>
    </cfRule>
    <cfRule type="cellIs" dxfId="1328" priority="1176" operator="equal">
      <formula>"Media"</formula>
    </cfRule>
    <cfRule type="cellIs" dxfId="1327" priority="1177" operator="equal">
      <formula>"Baja"</formula>
    </cfRule>
    <cfRule type="cellIs" dxfId="1326" priority="1178" operator="equal">
      <formula>"Muy Baja"</formula>
    </cfRule>
  </conditionalFormatting>
  <conditionalFormatting sqref="AC35">
    <cfRule type="cellIs" dxfId="1325" priority="1169" operator="equal">
      <formula>"Catastrófico"</formula>
    </cfRule>
    <cfRule type="cellIs" dxfId="1324" priority="1170" operator="equal">
      <formula>"Mayor"</formula>
    </cfRule>
    <cfRule type="cellIs" dxfId="1323" priority="1171" operator="equal">
      <formula>"Moderado"</formula>
    </cfRule>
    <cfRule type="cellIs" dxfId="1322" priority="1172" operator="equal">
      <formula>"Menor"</formula>
    </cfRule>
    <cfRule type="cellIs" dxfId="1321" priority="1173" operator="equal">
      <formula>"Leve"</formula>
    </cfRule>
  </conditionalFormatting>
  <conditionalFormatting sqref="AE35">
    <cfRule type="cellIs" dxfId="1320" priority="1165" operator="equal">
      <formula>"Extremo"</formula>
    </cfRule>
    <cfRule type="cellIs" dxfId="1319" priority="1166" operator="equal">
      <formula>"Alto"</formula>
    </cfRule>
    <cfRule type="cellIs" dxfId="1318" priority="1167" operator="equal">
      <formula>"Moderado"</formula>
    </cfRule>
    <cfRule type="cellIs" dxfId="1317" priority="1168" operator="equal">
      <formula>"Bajo"</formula>
    </cfRule>
  </conditionalFormatting>
  <conditionalFormatting sqref="AA36">
    <cfRule type="cellIs" dxfId="1316" priority="1160" operator="equal">
      <formula>"Muy Alta"</formula>
    </cfRule>
    <cfRule type="cellIs" dxfId="1315" priority="1161" operator="equal">
      <formula>"Alta"</formula>
    </cfRule>
    <cfRule type="cellIs" dxfId="1314" priority="1162" operator="equal">
      <formula>"Media"</formula>
    </cfRule>
    <cfRule type="cellIs" dxfId="1313" priority="1163" operator="equal">
      <formula>"Baja"</formula>
    </cfRule>
    <cfRule type="cellIs" dxfId="1312" priority="1164" operator="equal">
      <formula>"Muy Baja"</formula>
    </cfRule>
  </conditionalFormatting>
  <conditionalFormatting sqref="AC36">
    <cfRule type="cellIs" dxfId="1311" priority="1155" operator="equal">
      <formula>"Catastrófico"</formula>
    </cfRule>
    <cfRule type="cellIs" dxfId="1310" priority="1156" operator="equal">
      <formula>"Mayor"</formula>
    </cfRule>
    <cfRule type="cellIs" dxfId="1309" priority="1157" operator="equal">
      <formula>"Moderado"</formula>
    </cfRule>
    <cfRule type="cellIs" dxfId="1308" priority="1158" operator="equal">
      <formula>"Menor"</formula>
    </cfRule>
    <cfRule type="cellIs" dxfId="1307" priority="1159" operator="equal">
      <formula>"Leve"</formula>
    </cfRule>
  </conditionalFormatting>
  <conditionalFormatting sqref="AE36">
    <cfRule type="cellIs" dxfId="1306" priority="1151" operator="equal">
      <formula>"Extremo"</formula>
    </cfRule>
    <cfRule type="cellIs" dxfId="1305" priority="1152" operator="equal">
      <formula>"Alto"</formula>
    </cfRule>
    <cfRule type="cellIs" dxfId="1304" priority="1153" operator="equal">
      <formula>"Moderado"</formula>
    </cfRule>
    <cfRule type="cellIs" dxfId="1303" priority="1154" operator="equal">
      <formula>"Bajo"</formula>
    </cfRule>
  </conditionalFormatting>
  <conditionalFormatting sqref="M38">
    <cfRule type="containsText" dxfId="1302" priority="1126" operator="containsText" text="❌">
      <formula>NOT(ISERROR(SEARCH("❌",M38)))</formula>
    </cfRule>
  </conditionalFormatting>
  <conditionalFormatting sqref="AA38">
    <cfRule type="cellIs" dxfId="1301" priority="1102" operator="equal">
      <formula>"Muy Alta"</formula>
    </cfRule>
    <cfRule type="cellIs" dxfId="1300" priority="1103" operator="equal">
      <formula>"Alta"</formula>
    </cfRule>
    <cfRule type="cellIs" dxfId="1299" priority="1104" operator="equal">
      <formula>"Media"</formula>
    </cfRule>
    <cfRule type="cellIs" dxfId="1298" priority="1105" operator="equal">
      <formula>"Baja"</formula>
    </cfRule>
    <cfRule type="cellIs" dxfId="1297" priority="1106" operator="equal">
      <formula>"Muy Baja"</formula>
    </cfRule>
  </conditionalFormatting>
  <conditionalFormatting sqref="AC38">
    <cfRule type="cellIs" dxfId="1296" priority="1097" operator="equal">
      <formula>"Catastrófico"</formula>
    </cfRule>
    <cfRule type="cellIs" dxfId="1295" priority="1098" operator="equal">
      <formula>"Mayor"</formula>
    </cfRule>
    <cfRule type="cellIs" dxfId="1294" priority="1099" operator="equal">
      <formula>"Moderado"</formula>
    </cfRule>
    <cfRule type="cellIs" dxfId="1293" priority="1100" operator="equal">
      <formula>"Menor"</formula>
    </cfRule>
    <cfRule type="cellIs" dxfId="1292" priority="1101" operator="equal">
      <formula>"Leve"</formula>
    </cfRule>
  </conditionalFormatting>
  <conditionalFormatting sqref="AE38">
    <cfRule type="cellIs" dxfId="1291" priority="1093" operator="equal">
      <formula>"Extremo"</formula>
    </cfRule>
    <cfRule type="cellIs" dxfId="1290" priority="1094" operator="equal">
      <formula>"Alto"</formula>
    </cfRule>
    <cfRule type="cellIs" dxfId="1289" priority="1095" operator="equal">
      <formula>"Moderado"</formula>
    </cfRule>
    <cfRule type="cellIs" dxfId="1288" priority="1096" operator="equal">
      <formula>"Bajo"</formula>
    </cfRule>
  </conditionalFormatting>
  <conditionalFormatting sqref="I41">
    <cfRule type="cellIs" dxfId="1287" priority="1040" operator="equal">
      <formula>"Muy Alta"</formula>
    </cfRule>
    <cfRule type="cellIs" dxfId="1286" priority="1041" operator="equal">
      <formula>"Alta"</formula>
    </cfRule>
    <cfRule type="cellIs" dxfId="1285" priority="1042" operator="equal">
      <formula>"Media"</formula>
    </cfRule>
    <cfRule type="cellIs" dxfId="1284" priority="1043" operator="equal">
      <formula>"Baja"</formula>
    </cfRule>
    <cfRule type="cellIs" dxfId="1283" priority="1044" operator="equal">
      <formula>"Muy Baja"</formula>
    </cfRule>
  </conditionalFormatting>
  <conditionalFormatting sqref="M41">
    <cfRule type="containsText" dxfId="1282" priority="1039" operator="containsText" text="❌">
      <formula>NOT(ISERROR(SEARCH("❌",M41)))</formula>
    </cfRule>
  </conditionalFormatting>
  <conditionalFormatting sqref="I6">
    <cfRule type="cellIs" dxfId="1281" priority="938" operator="equal">
      <formula>"Muy Alta"</formula>
    </cfRule>
    <cfRule type="cellIs" dxfId="1280" priority="939" operator="equal">
      <formula>"Alta"</formula>
    </cfRule>
    <cfRule type="cellIs" dxfId="1279" priority="940" operator="equal">
      <formula>"Media"</formula>
    </cfRule>
    <cfRule type="cellIs" dxfId="1278" priority="941" operator="equal">
      <formula>"Baja"</formula>
    </cfRule>
    <cfRule type="cellIs" dxfId="1277" priority="942" operator="equal">
      <formula>"Muy Baja"</formula>
    </cfRule>
  </conditionalFormatting>
  <conditionalFormatting sqref="M6">
    <cfRule type="containsText" dxfId="1276" priority="928" operator="containsText" text="❌">
      <formula>NOT(ISERROR(SEARCH("❌",M6)))</formula>
    </cfRule>
  </conditionalFormatting>
  <conditionalFormatting sqref="I11">
    <cfRule type="cellIs" dxfId="1275" priority="905" operator="equal">
      <formula>"Muy Alta"</formula>
    </cfRule>
    <cfRule type="cellIs" dxfId="1274" priority="906" operator="equal">
      <formula>"Alta"</formula>
    </cfRule>
    <cfRule type="cellIs" dxfId="1273" priority="907" operator="equal">
      <formula>"Media"</formula>
    </cfRule>
    <cfRule type="cellIs" dxfId="1272" priority="908" operator="equal">
      <formula>"Baja"</formula>
    </cfRule>
    <cfRule type="cellIs" dxfId="1271" priority="909" operator="equal">
      <formula>"Muy Baja"</formula>
    </cfRule>
  </conditionalFormatting>
  <conditionalFormatting sqref="N6">
    <cfRule type="cellIs" dxfId="1270" priority="657" operator="equal">
      <formula>"Catastrófico"</formula>
    </cfRule>
    <cfRule type="cellIs" dxfId="1269" priority="658" operator="equal">
      <formula>"Mayor"</formula>
    </cfRule>
    <cfRule type="cellIs" dxfId="1268" priority="659" operator="equal">
      <formula>"Moderado"</formula>
    </cfRule>
    <cfRule type="cellIs" dxfId="1267" priority="660" operator="equal">
      <formula>"Menor"</formula>
    </cfRule>
    <cfRule type="cellIs" dxfId="1266" priority="661" operator="equal">
      <formula>"Leve"</formula>
    </cfRule>
  </conditionalFormatting>
  <conditionalFormatting sqref="M9">
    <cfRule type="containsText" dxfId="1265" priority="894" operator="containsText" text="❌">
      <formula>NOT(ISERROR(SEARCH("❌",M9)))</formula>
    </cfRule>
  </conditionalFormatting>
  <conditionalFormatting sqref="M23:M25">
    <cfRule type="containsText" dxfId="1264" priority="875" operator="containsText" text="❌">
      <formula>NOT(ISERROR(SEARCH("❌",M23)))</formula>
    </cfRule>
  </conditionalFormatting>
  <conditionalFormatting sqref="I23:I25">
    <cfRule type="cellIs" dxfId="1263" priority="870" operator="equal">
      <formula>"Muy Alta"</formula>
    </cfRule>
    <cfRule type="cellIs" dxfId="1262" priority="871" operator="equal">
      <formula>"Alta"</formula>
    </cfRule>
    <cfRule type="cellIs" dxfId="1261" priority="872" operator="equal">
      <formula>"Media"</formula>
    </cfRule>
    <cfRule type="cellIs" dxfId="1260" priority="873" operator="equal">
      <formula>"Baja"</formula>
    </cfRule>
    <cfRule type="cellIs" dxfId="1259" priority="874" operator="equal">
      <formula>"Muy Baja"</formula>
    </cfRule>
  </conditionalFormatting>
  <conditionalFormatting sqref="M22">
    <cfRule type="containsText" dxfId="1258" priority="869" operator="containsText" text="❌">
      <formula>NOT(ISERROR(SEARCH("❌",M22)))</formula>
    </cfRule>
  </conditionalFormatting>
  <conditionalFormatting sqref="P5">
    <cfRule type="cellIs" dxfId="1257" priority="860" operator="equal">
      <formula>"Extremo"</formula>
    </cfRule>
    <cfRule type="cellIs" dxfId="1256" priority="861" operator="equal">
      <formula>"Alto"</formula>
    </cfRule>
    <cfRule type="cellIs" dxfId="1255" priority="862" operator="equal">
      <formula>"Moderado"</formula>
    </cfRule>
    <cfRule type="cellIs" dxfId="1254" priority="863" operator="equal">
      <formula>"Bajo"</formula>
    </cfRule>
  </conditionalFormatting>
  <conditionalFormatting sqref="N5">
    <cfRule type="cellIs" dxfId="1253" priority="855" operator="equal">
      <formula>"Catastrófico"</formula>
    </cfRule>
    <cfRule type="cellIs" dxfId="1252" priority="856" operator="equal">
      <formula>"Mayor"</formula>
    </cfRule>
    <cfRule type="cellIs" dxfId="1251" priority="857" operator="equal">
      <formula>"Moderado"</formula>
    </cfRule>
    <cfRule type="cellIs" dxfId="1250" priority="858" operator="equal">
      <formula>"Menor"</formula>
    </cfRule>
    <cfRule type="cellIs" dxfId="1249" priority="859" operator="equal">
      <formula>"Leve"</formula>
    </cfRule>
  </conditionalFormatting>
  <conditionalFormatting sqref="P38">
    <cfRule type="cellIs" dxfId="1248" priority="698" operator="equal">
      <formula>"Extremo"</formula>
    </cfRule>
    <cfRule type="cellIs" dxfId="1247" priority="699" operator="equal">
      <formula>"Alto"</formula>
    </cfRule>
    <cfRule type="cellIs" dxfId="1246" priority="700" operator="equal">
      <formula>"Moderado"</formula>
    </cfRule>
    <cfRule type="cellIs" dxfId="1245" priority="701" operator="equal">
      <formula>"Bajo"</formula>
    </cfRule>
  </conditionalFormatting>
  <conditionalFormatting sqref="N38">
    <cfRule type="cellIs" dxfId="1244" priority="693" operator="equal">
      <formula>"Catastrófico"</formula>
    </cfRule>
    <cfRule type="cellIs" dxfId="1243" priority="694" operator="equal">
      <formula>"Mayor"</formula>
    </cfRule>
    <cfRule type="cellIs" dxfId="1242" priority="695" operator="equal">
      <formula>"Moderado"</formula>
    </cfRule>
    <cfRule type="cellIs" dxfId="1241" priority="696" operator="equal">
      <formula>"Menor"</formula>
    </cfRule>
    <cfRule type="cellIs" dxfId="1240" priority="697" operator="equal">
      <formula>"Leve"</formula>
    </cfRule>
  </conditionalFormatting>
  <conditionalFormatting sqref="P22">
    <cfRule type="cellIs" dxfId="1239" priority="743" operator="equal">
      <formula>"Extremo"</formula>
    </cfRule>
    <cfRule type="cellIs" dxfId="1238" priority="744" operator="equal">
      <formula>"Alto"</formula>
    </cfRule>
    <cfRule type="cellIs" dxfId="1237" priority="745" operator="equal">
      <formula>"Moderado"</formula>
    </cfRule>
    <cfRule type="cellIs" dxfId="1236" priority="746" operator="equal">
      <formula>"Bajo"</formula>
    </cfRule>
  </conditionalFormatting>
  <conditionalFormatting sqref="N22">
    <cfRule type="cellIs" dxfId="1235" priority="738" operator="equal">
      <formula>"Catastrófico"</formula>
    </cfRule>
    <cfRule type="cellIs" dxfId="1234" priority="739" operator="equal">
      <formula>"Mayor"</formula>
    </cfRule>
    <cfRule type="cellIs" dxfId="1233" priority="740" operator="equal">
      <formula>"Moderado"</formula>
    </cfRule>
    <cfRule type="cellIs" dxfId="1232" priority="741" operator="equal">
      <formula>"Menor"</formula>
    </cfRule>
    <cfRule type="cellIs" dxfId="1231" priority="742" operator="equal">
      <formula>"Leve"</formula>
    </cfRule>
  </conditionalFormatting>
  <conditionalFormatting sqref="P7">
    <cfRule type="cellIs" dxfId="1230" priority="824" operator="equal">
      <formula>"Extremo"</formula>
    </cfRule>
    <cfRule type="cellIs" dxfId="1229" priority="825" operator="equal">
      <formula>"Alto"</formula>
    </cfRule>
    <cfRule type="cellIs" dxfId="1228" priority="826" operator="equal">
      <formula>"Moderado"</formula>
    </cfRule>
    <cfRule type="cellIs" dxfId="1227" priority="827" operator="equal">
      <formula>"Bajo"</formula>
    </cfRule>
  </conditionalFormatting>
  <conditionalFormatting sqref="N7">
    <cfRule type="cellIs" dxfId="1226" priority="819" operator="equal">
      <formula>"Catastrófico"</formula>
    </cfRule>
    <cfRule type="cellIs" dxfId="1225" priority="820" operator="equal">
      <formula>"Mayor"</formula>
    </cfRule>
    <cfRule type="cellIs" dxfId="1224" priority="821" operator="equal">
      <formula>"Moderado"</formula>
    </cfRule>
    <cfRule type="cellIs" dxfId="1223" priority="822" operator="equal">
      <formula>"Menor"</formula>
    </cfRule>
    <cfRule type="cellIs" dxfId="1222" priority="823" operator="equal">
      <formula>"Leve"</formula>
    </cfRule>
  </conditionalFormatting>
  <conditionalFormatting sqref="P8">
    <cfRule type="cellIs" dxfId="1221" priority="815" operator="equal">
      <formula>"Extremo"</formula>
    </cfRule>
    <cfRule type="cellIs" dxfId="1220" priority="816" operator="equal">
      <formula>"Alto"</formula>
    </cfRule>
    <cfRule type="cellIs" dxfId="1219" priority="817" operator="equal">
      <formula>"Moderado"</formula>
    </cfRule>
    <cfRule type="cellIs" dxfId="1218" priority="818" operator="equal">
      <formula>"Bajo"</formula>
    </cfRule>
  </conditionalFormatting>
  <conditionalFormatting sqref="N8">
    <cfRule type="cellIs" dxfId="1217" priority="810" operator="equal">
      <formula>"Catastrófico"</formula>
    </cfRule>
    <cfRule type="cellIs" dxfId="1216" priority="811" operator="equal">
      <formula>"Mayor"</formula>
    </cfRule>
    <cfRule type="cellIs" dxfId="1215" priority="812" operator="equal">
      <formula>"Moderado"</formula>
    </cfRule>
    <cfRule type="cellIs" dxfId="1214" priority="813" operator="equal">
      <formula>"Menor"</formula>
    </cfRule>
    <cfRule type="cellIs" dxfId="1213" priority="814" operator="equal">
      <formula>"Leve"</formula>
    </cfRule>
  </conditionalFormatting>
  <conditionalFormatting sqref="P9">
    <cfRule type="cellIs" dxfId="1212" priority="806" operator="equal">
      <formula>"Extremo"</formula>
    </cfRule>
    <cfRule type="cellIs" dxfId="1211" priority="807" operator="equal">
      <formula>"Alto"</formula>
    </cfRule>
    <cfRule type="cellIs" dxfId="1210" priority="808" operator="equal">
      <formula>"Moderado"</formula>
    </cfRule>
    <cfRule type="cellIs" dxfId="1209" priority="809" operator="equal">
      <formula>"Bajo"</formula>
    </cfRule>
  </conditionalFormatting>
  <conditionalFormatting sqref="N9">
    <cfRule type="cellIs" dxfId="1208" priority="801" operator="equal">
      <formula>"Catastrófico"</formula>
    </cfRule>
    <cfRule type="cellIs" dxfId="1207" priority="802" operator="equal">
      <formula>"Mayor"</formula>
    </cfRule>
    <cfRule type="cellIs" dxfId="1206" priority="803" operator="equal">
      <formula>"Moderado"</formula>
    </cfRule>
    <cfRule type="cellIs" dxfId="1205" priority="804" operator="equal">
      <formula>"Menor"</formula>
    </cfRule>
    <cfRule type="cellIs" dxfId="1204" priority="805" operator="equal">
      <formula>"Leve"</formula>
    </cfRule>
  </conditionalFormatting>
  <conditionalFormatting sqref="P10">
    <cfRule type="cellIs" dxfId="1203" priority="797" operator="equal">
      <formula>"Extremo"</formula>
    </cfRule>
    <cfRule type="cellIs" dxfId="1202" priority="798" operator="equal">
      <formula>"Alto"</formula>
    </cfRule>
    <cfRule type="cellIs" dxfId="1201" priority="799" operator="equal">
      <formula>"Moderado"</formula>
    </cfRule>
    <cfRule type="cellIs" dxfId="1200" priority="800" operator="equal">
      <formula>"Bajo"</formula>
    </cfRule>
  </conditionalFormatting>
  <conditionalFormatting sqref="N10">
    <cfRule type="cellIs" dxfId="1199" priority="792" operator="equal">
      <formula>"Catastrófico"</formula>
    </cfRule>
    <cfRule type="cellIs" dxfId="1198" priority="793" operator="equal">
      <formula>"Mayor"</formula>
    </cfRule>
    <cfRule type="cellIs" dxfId="1197" priority="794" operator="equal">
      <formula>"Moderado"</formula>
    </cfRule>
    <cfRule type="cellIs" dxfId="1196" priority="795" operator="equal">
      <formula>"Menor"</formula>
    </cfRule>
    <cfRule type="cellIs" dxfId="1195" priority="796" operator="equal">
      <formula>"Leve"</formula>
    </cfRule>
  </conditionalFormatting>
  <conditionalFormatting sqref="P12">
    <cfRule type="cellIs" dxfId="1194" priority="788" operator="equal">
      <formula>"Extremo"</formula>
    </cfRule>
    <cfRule type="cellIs" dxfId="1193" priority="789" operator="equal">
      <formula>"Alto"</formula>
    </cfRule>
    <cfRule type="cellIs" dxfId="1192" priority="790" operator="equal">
      <formula>"Moderado"</formula>
    </cfRule>
    <cfRule type="cellIs" dxfId="1191" priority="791" operator="equal">
      <formula>"Bajo"</formula>
    </cfRule>
  </conditionalFormatting>
  <conditionalFormatting sqref="N12">
    <cfRule type="cellIs" dxfId="1190" priority="783" operator="equal">
      <formula>"Catastrófico"</formula>
    </cfRule>
    <cfRule type="cellIs" dxfId="1189" priority="784" operator="equal">
      <formula>"Mayor"</formula>
    </cfRule>
    <cfRule type="cellIs" dxfId="1188" priority="785" operator="equal">
      <formula>"Moderado"</formula>
    </cfRule>
    <cfRule type="cellIs" dxfId="1187" priority="786" operator="equal">
      <formula>"Menor"</formula>
    </cfRule>
    <cfRule type="cellIs" dxfId="1186" priority="787" operator="equal">
      <formula>"Leve"</formula>
    </cfRule>
  </conditionalFormatting>
  <conditionalFormatting sqref="P15">
    <cfRule type="cellIs" dxfId="1185" priority="779" operator="equal">
      <formula>"Extremo"</formula>
    </cfRule>
    <cfRule type="cellIs" dxfId="1184" priority="780" operator="equal">
      <formula>"Alto"</formula>
    </cfRule>
    <cfRule type="cellIs" dxfId="1183" priority="781" operator="equal">
      <formula>"Moderado"</formula>
    </cfRule>
    <cfRule type="cellIs" dxfId="1182" priority="782" operator="equal">
      <formula>"Bajo"</formula>
    </cfRule>
  </conditionalFormatting>
  <conditionalFormatting sqref="N15">
    <cfRule type="cellIs" dxfId="1181" priority="774" operator="equal">
      <formula>"Catastrófico"</formula>
    </cfRule>
    <cfRule type="cellIs" dxfId="1180" priority="775" operator="equal">
      <formula>"Mayor"</formula>
    </cfRule>
    <cfRule type="cellIs" dxfId="1179" priority="776" operator="equal">
      <formula>"Moderado"</formula>
    </cfRule>
    <cfRule type="cellIs" dxfId="1178" priority="777" operator="equal">
      <formula>"Menor"</formula>
    </cfRule>
    <cfRule type="cellIs" dxfId="1177" priority="778" operator="equal">
      <formula>"Leve"</formula>
    </cfRule>
  </conditionalFormatting>
  <conditionalFormatting sqref="P19">
    <cfRule type="cellIs" dxfId="1176" priority="770" operator="equal">
      <formula>"Extremo"</formula>
    </cfRule>
    <cfRule type="cellIs" dxfId="1175" priority="771" operator="equal">
      <formula>"Alto"</formula>
    </cfRule>
    <cfRule type="cellIs" dxfId="1174" priority="772" operator="equal">
      <formula>"Moderado"</formula>
    </cfRule>
    <cfRule type="cellIs" dxfId="1173" priority="773" operator="equal">
      <formula>"Bajo"</formula>
    </cfRule>
  </conditionalFormatting>
  <conditionalFormatting sqref="N19">
    <cfRule type="cellIs" dxfId="1172" priority="765" operator="equal">
      <formula>"Catastrófico"</formula>
    </cfRule>
    <cfRule type="cellIs" dxfId="1171" priority="766" operator="equal">
      <formula>"Mayor"</formula>
    </cfRule>
    <cfRule type="cellIs" dxfId="1170" priority="767" operator="equal">
      <formula>"Moderado"</formula>
    </cfRule>
    <cfRule type="cellIs" dxfId="1169" priority="768" operator="equal">
      <formula>"Menor"</formula>
    </cfRule>
    <cfRule type="cellIs" dxfId="1168" priority="769" operator="equal">
      <formula>"Leve"</formula>
    </cfRule>
  </conditionalFormatting>
  <conditionalFormatting sqref="P21">
    <cfRule type="cellIs" dxfId="1167" priority="752" operator="equal">
      <formula>"Extremo"</formula>
    </cfRule>
    <cfRule type="cellIs" dxfId="1166" priority="753" operator="equal">
      <formula>"Alto"</formula>
    </cfRule>
    <cfRule type="cellIs" dxfId="1165" priority="754" operator="equal">
      <formula>"Moderado"</formula>
    </cfRule>
    <cfRule type="cellIs" dxfId="1164" priority="755" operator="equal">
      <formula>"Bajo"</formula>
    </cfRule>
  </conditionalFormatting>
  <conditionalFormatting sqref="N21">
    <cfRule type="cellIs" dxfId="1163" priority="747" operator="equal">
      <formula>"Catastrófico"</formula>
    </cfRule>
    <cfRule type="cellIs" dxfId="1162" priority="748" operator="equal">
      <formula>"Mayor"</formula>
    </cfRule>
    <cfRule type="cellIs" dxfId="1161" priority="749" operator="equal">
      <formula>"Moderado"</formula>
    </cfRule>
    <cfRule type="cellIs" dxfId="1160" priority="750" operator="equal">
      <formula>"Menor"</formula>
    </cfRule>
    <cfRule type="cellIs" dxfId="1159" priority="751" operator="equal">
      <formula>"Leve"</formula>
    </cfRule>
  </conditionalFormatting>
  <conditionalFormatting sqref="P26">
    <cfRule type="cellIs" dxfId="1158" priority="734" operator="equal">
      <formula>"Extremo"</formula>
    </cfRule>
    <cfRule type="cellIs" dxfId="1157" priority="735" operator="equal">
      <formula>"Alto"</formula>
    </cfRule>
    <cfRule type="cellIs" dxfId="1156" priority="736" operator="equal">
      <formula>"Moderado"</formula>
    </cfRule>
    <cfRule type="cellIs" dxfId="1155" priority="737" operator="equal">
      <formula>"Bajo"</formula>
    </cfRule>
  </conditionalFormatting>
  <conditionalFormatting sqref="N26">
    <cfRule type="cellIs" dxfId="1154" priority="729" operator="equal">
      <formula>"Catastrófico"</formula>
    </cfRule>
    <cfRule type="cellIs" dxfId="1153" priority="730" operator="equal">
      <formula>"Mayor"</formula>
    </cfRule>
    <cfRule type="cellIs" dxfId="1152" priority="731" operator="equal">
      <formula>"Moderado"</formula>
    </cfRule>
    <cfRule type="cellIs" dxfId="1151" priority="732" operator="equal">
      <formula>"Menor"</formula>
    </cfRule>
    <cfRule type="cellIs" dxfId="1150" priority="733" operator="equal">
      <formula>"Leve"</formula>
    </cfRule>
  </conditionalFormatting>
  <conditionalFormatting sqref="P31">
    <cfRule type="cellIs" dxfId="1149" priority="725" operator="equal">
      <formula>"Extremo"</formula>
    </cfRule>
    <cfRule type="cellIs" dxfId="1148" priority="726" operator="equal">
      <formula>"Alto"</formula>
    </cfRule>
    <cfRule type="cellIs" dxfId="1147" priority="727" operator="equal">
      <formula>"Moderado"</formula>
    </cfRule>
    <cfRule type="cellIs" dxfId="1146" priority="728" operator="equal">
      <formula>"Bajo"</formula>
    </cfRule>
  </conditionalFormatting>
  <conditionalFormatting sqref="N31">
    <cfRule type="cellIs" dxfId="1145" priority="720" operator="equal">
      <formula>"Catastrófico"</formula>
    </cfRule>
    <cfRule type="cellIs" dxfId="1144" priority="721" operator="equal">
      <formula>"Mayor"</formula>
    </cfRule>
    <cfRule type="cellIs" dxfId="1143" priority="722" operator="equal">
      <formula>"Moderado"</formula>
    </cfRule>
    <cfRule type="cellIs" dxfId="1142" priority="723" operator="equal">
      <formula>"Menor"</formula>
    </cfRule>
    <cfRule type="cellIs" dxfId="1141" priority="724" operator="equal">
      <formula>"Leve"</formula>
    </cfRule>
  </conditionalFormatting>
  <conditionalFormatting sqref="P32">
    <cfRule type="cellIs" dxfId="1140" priority="716" operator="equal">
      <formula>"Extremo"</formula>
    </cfRule>
    <cfRule type="cellIs" dxfId="1139" priority="717" operator="equal">
      <formula>"Alto"</formula>
    </cfRule>
    <cfRule type="cellIs" dxfId="1138" priority="718" operator="equal">
      <formula>"Moderado"</formula>
    </cfRule>
    <cfRule type="cellIs" dxfId="1137" priority="719" operator="equal">
      <formula>"Bajo"</formula>
    </cfRule>
  </conditionalFormatting>
  <conditionalFormatting sqref="N32">
    <cfRule type="cellIs" dxfId="1136" priority="711" operator="equal">
      <formula>"Catastrófico"</formula>
    </cfRule>
    <cfRule type="cellIs" dxfId="1135" priority="712" operator="equal">
      <formula>"Mayor"</formula>
    </cfRule>
    <cfRule type="cellIs" dxfId="1134" priority="713" operator="equal">
      <formula>"Moderado"</formula>
    </cfRule>
    <cfRule type="cellIs" dxfId="1133" priority="714" operator="equal">
      <formula>"Menor"</formula>
    </cfRule>
    <cfRule type="cellIs" dxfId="1132" priority="715" operator="equal">
      <formula>"Leve"</formula>
    </cfRule>
  </conditionalFormatting>
  <conditionalFormatting sqref="P35">
    <cfRule type="cellIs" dxfId="1131" priority="707" operator="equal">
      <formula>"Extremo"</formula>
    </cfRule>
    <cfRule type="cellIs" dxfId="1130" priority="708" operator="equal">
      <formula>"Alto"</formula>
    </cfRule>
    <cfRule type="cellIs" dxfId="1129" priority="709" operator="equal">
      <formula>"Moderado"</formula>
    </cfRule>
    <cfRule type="cellIs" dxfId="1128" priority="710" operator="equal">
      <formula>"Bajo"</formula>
    </cfRule>
  </conditionalFormatting>
  <conditionalFormatting sqref="N35">
    <cfRule type="cellIs" dxfId="1127" priority="702" operator="equal">
      <formula>"Catastrófico"</formula>
    </cfRule>
    <cfRule type="cellIs" dxfId="1126" priority="703" operator="equal">
      <formula>"Mayor"</formula>
    </cfRule>
    <cfRule type="cellIs" dxfId="1125" priority="704" operator="equal">
      <formula>"Moderado"</formula>
    </cfRule>
    <cfRule type="cellIs" dxfId="1124" priority="705" operator="equal">
      <formula>"Menor"</formula>
    </cfRule>
    <cfRule type="cellIs" dxfId="1123" priority="706" operator="equal">
      <formula>"Leve"</formula>
    </cfRule>
  </conditionalFormatting>
  <conditionalFormatting sqref="P41">
    <cfRule type="cellIs" dxfId="1122" priority="671" operator="equal">
      <formula>"Extremo"</formula>
    </cfRule>
    <cfRule type="cellIs" dxfId="1121" priority="672" operator="equal">
      <formula>"Alto"</formula>
    </cfRule>
    <cfRule type="cellIs" dxfId="1120" priority="673" operator="equal">
      <formula>"Moderado"</formula>
    </cfRule>
    <cfRule type="cellIs" dxfId="1119" priority="674" operator="equal">
      <formula>"Bajo"</formula>
    </cfRule>
  </conditionalFormatting>
  <conditionalFormatting sqref="N41">
    <cfRule type="cellIs" dxfId="1118" priority="666" operator="equal">
      <formula>"Catastrófico"</formula>
    </cfRule>
    <cfRule type="cellIs" dxfId="1117" priority="667" operator="equal">
      <formula>"Mayor"</formula>
    </cfRule>
    <cfRule type="cellIs" dxfId="1116" priority="668" operator="equal">
      <formula>"Moderado"</formula>
    </cfRule>
    <cfRule type="cellIs" dxfId="1115" priority="669" operator="equal">
      <formula>"Menor"</formula>
    </cfRule>
    <cfRule type="cellIs" dxfId="1114" priority="670" operator="equal">
      <formula>"Leve"</formula>
    </cfRule>
  </conditionalFormatting>
  <conditionalFormatting sqref="P6">
    <cfRule type="cellIs" dxfId="1113" priority="662" operator="equal">
      <formula>"Extremo"</formula>
    </cfRule>
    <cfRule type="cellIs" dxfId="1112" priority="663" operator="equal">
      <formula>"Alto"</formula>
    </cfRule>
    <cfRule type="cellIs" dxfId="1111" priority="664" operator="equal">
      <formula>"Moderado"</formula>
    </cfRule>
    <cfRule type="cellIs" dxfId="1110" priority="665" operator="equal">
      <formula>"Bajo"</formula>
    </cfRule>
  </conditionalFormatting>
  <conditionalFormatting sqref="P27:P28">
    <cfRule type="cellIs" dxfId="1109" priority="653" operator="equal">
      <formula>"Extremo"</formula>
    </cfRule>
    <cfRule type="cellIs" dxfId="1108" priority="654" operator="equal">
      <formula>"Alto"</formula>
    </cfRule>
    <cfRule type="cellIs" dxfId="1107" priority="655" operator="equal">
      <formula>"Moderado"</formula>
    </cfRule>
    <cfRule type="cellIs" dxfId="1106" priority="656" operator="equal">
      <formula>"Bajo"</formula>
    </cfRule>
  </conditionalFormatting>
  <conditionalFormatting sqref="N27:N28">
    <cfRule type="cellIs" dxfId="1105" priority="648" operator="equal">
      <formula>"Catastrófico"</formula>
    </cfRule>
    <cfRule type="cellIs" dxfId="1104" priority="649" operator="equal">
      <formula>"Mayor"</formula>
    </cfRule>
    <cfRule type="cellIs" dxfId="1103" priority="650" operator="equal">
      <formula>"Moderado"</formula>
    </cfRule>
    <cfRule type="cellIs" dxfId="1102" priority="651" operator="equal">
      <formula>"Menor"</formula>
    </cfRule>
    <cfRule type="cellIs" dxfId="1101" priority="652" operator="equal">
      <formula>"Leve"</formula>
    </cfRule>
  </conditionalFormatting>
  <conditionalFormatting sqref="M29">
    <cfRule type="containsText" dxfId="1100" priority="647" operator="containsText" text="❌">
      <formula>NOT(ISERROR(SEARCH("❌",M29)))</formula>
    </cfRule>
  </conditionalFormatting>
  <conditionalFormatting sqref="P29">
    <cfRule type="cellIs" dxfId="1099" priority="643" operator="equal">
      <formula>"Extremo"</formula>
    </cfRule>
    <cfRule type="cellIs" dxfId="1098" priority="644" operator="equal">
      <formula>"Alto"</formula>
    </cfRule>
    <cfRule type="cellIs" dxfId="1097" priority="645" operator="equal">
      <formula>"Moderado"</formula>
    </cfRule>
    <cfRule type="cellIs" dxfId="1096" priority="646" operator="equal">
      <formula>"Bajo"</formula>
    </cfRule>
  </conditionalFormatting>
  <conditionalFormatting sqref="N29">
    <cfRule type="cellIs" dxfId="1095" priority="638" operator="equal">
      <formula>"Catastrófico"</formula>
    </cfRule>
    <cfRule type="cellIs" dxfId="1094" priority="639" operator="equal">
      <formula>"Mayor"</formula>
    </cfRule>
    <cfRule type="cellIs" dxfId="1093" priority="640" operator="equal">
      <formula>"Moderado"</formula>
    </cfRule>
    <cfRule type="cellIs" dxfId="1092" priority="641" operator="equal">
      <formula>"Menor"</formula>
    </cfRule>
    <cfRule type="cellIs" dxfId="1091" priority="642" operator="equal">
      <formula>"Leve"</formula>
    </cfRule>
  </conditionalFormatting>
  <conditionalFormatting sqref="I30">
    <cfRule type="cellIs" dxfId="1090" priority="633" operator="equal">
      <formula>"Muy Alta"</formula>
    </cfRule>
    <cfRule type="cellIs" dxfId="1089" priority="634" operator="equal">
      <formula>"Alta"</formula>
    </cfRule>
    <cfRule type="cellIs" dxfId="1088" priority="635" operator="equal">
      <formula>"Media"</formula>
    </cfRule>
    <cfRule type="cellIs" dxfId="1087" priority="636" operator="equal">
      <formula>"Baja"</formula>
    </cfRule>
    <cfRule type="cellIs" dxfId="1086" priority="637" operator="equal">
      <formula>"Muy Baja"</formula>
    </cfRule>
  </conditionalFormatting>
  <conditionalFormatting sqref="M30">
    <cfRule type="containsText" dxfId="1085" priority="632" operator="containsText" text="❌">
      <formula>NOT(ISERROR(SEARCH("❌",M30)))</formula>
    </cfRule>
  </conditionalFormatting>
  <conditionalFormatting sqref="P30">
    <cfRule type="cellIs" dxfId="1084" priority="628" operator="equal">
      <formula>"Extremo"</formula>
    </cfRule>
    <cfRule type="cellIs" dxfId="1083" priority="629" operator="equal">
      <formula>"Alto"</formula>
    </cfRule>
    <cfRule type="cellIs" dxfId="1082" priority="630" operator="equal">
      <formula>"Moderado"</formula>
    </cfRule>
    <cfRule type="cellIs" dxfId="1081" priority="631" operator="equal">
      <formula>"Bajo"</formula>
    </cfRule>
  </conditionalFormatting>
  <conditionalFormatting sqref="N30">
    <cfRule type="cellIs" dxfId="1080" priority="623" operator="equal">
      <formula>"Catastrófico"</formula>
    </cfRule>
    <cfRule type="cellIs" dxfId="1079" priority="624" operator="equal">
      <formula>"Mayor"</formula>
    </cfRule>
    <cfRule type="cellIs" dxfId="1078" priority="625" operator="equal">
      <formula>"Moderado"</formula>
    </cfRule>
    <cfRule type="cellIs" dxfId="1077" priority="626" operator="equal">
      <formula>"Menor"</formula>
    </cfRule>
    <cfRule type="cellIs" dxfId="1076" priority="627" operator="equal">
      <formula>"Leve"</formula>
    </cfRule>
  </conditionalFormatting>
  <conditionalFormatting sqref="AA30">
    <cfRule type="cellIs" dxfId="1075" priority="618" operator="equal">
      <formula>"Muy Alta"</formula>
    </cfRule>
    <cfRule type="cellIs" dxfId="1074" priority="619" operator="equal">
      <formula>"Alta"</formula>
    </cfRule>
    <cfRule type="cellIs" dxfId="1073" priority="620" operator="equal">
      <formula>"Media"</formula>
    </cfRule>
    <cfRule type="cellIs" dxfId="1072" priority="621" operator="equal">
      <formula>"Baja"</formula>
    </cfRule>
    <cfRule type="cellIs" dxfId="1071" priority="622" operator="equal">
      <formula>"Muy Baja"</formula>
    </cfRule>
  </conditionalFormatting>
  <conditionalFormatting sqref="AC30">
    <cfRule type="cellIs" dxfId="1070" priority="613" operator="equal">
      <formula>"Catastrófico"</formula>
    </cfRule>
    <cfRule type="cellIs" dxfId="1069" priority="614" operator="equal">
      <formula>"Mayor"</formula>
    </cfRule>
    <cfRule type="cellIs" dxfId="1068" priority="615" operator="equal">
      <formula>"Moderado"</formula>
    </cfRule>
    <cfRule type="cellIs" dxfId="1067" priority="616" operator="equal">
      <formula>"Menor"</formula>
    </cfRule>
    <cfRule type="cellIs" dxfId="1066" priority="617" operator="equal">
      <formula>"Leve"</formula>
    </cfRule>
  </conditionalFormatting>
  <conditionalFormatting sqref="AE30">
    <cfRule type="cellIs" dxfId="1065" priority="609" operator="equal">
      <formula>"Extremo"</formula>
    </cfRule>
    <cfRule type="cellIs" dxfId="1064" priority="610" operator="equal">
      <formula>"Alto"</formula>
    </cfRule>
    <cfRule type="cellIs" dxfId="1063" priority="611" operator="equal">
      <formula>"Moderado"</formula>
    </cfRule>
    <cfRule type="cellIs" dxfId="1062" priority="612" operator="equal">
      <formula>"Bajo"</formula>
    </cfRule>
  </conditionalFormatting>
  <conditionalFormatting sqref="I28">
    <cfRule type="cellIs" dxfId="1061" priority="584" operator="equal">
      <formula>"Muy Alta"</formula>
    </cfRule>
    <cfRule type="cellIs" dxfId="1060" priority="585" operator="equal">
      <formula>"Alta"</formula>
    </cfRule>
    <cfRule type="cellIs" dxfId="1059" priority="586" operator="equal">
      <formula>"Media"</formula>
    </cfRule>
    <cfRule type="cellIs" dxfId="1058" priority="587" operator="equal">
      <formula>"Baja"</formula>
    </cfRule>
    <cfRule type="cellIs" dxfId="1057" priority="588" operator="equal">
      <formula>"Muy Baja"</formula>
    </cfRule>
  </conditionalFormatting>
  <conditionalFormatting sqref="M28">
    <cfRule type="containsText" dxfId="1056" priority="583" operator="containsText" text="❌">
      <formula>NOT(ISERROR(SEARCH("❌",M28)))</formula>
    </cfRule>
  </conditionalFormatting>
  <conditionalFormatting sqref="AA28">
    <cfRule type="cellIs" dxfId="1055" priority="578" operator="equal">
      <formula>"Muy Alta"</formula>
    </cfRule>
    <cfRule type="cellIs" dxfId="1054" priority="579" operator="equal">
      <formula>"Alta"</formula>
    </cfRule>
    <cfRule type="cellIs" dxfId="1053" priority="580" operator="equal">
      <formula>"Media"</formula>
    </cfRule>
    <cfRule type="cellIs" dxfId="1052" priority="581" operator="equal">
      <formula>"Baja"</formula>
    </cfRule>
    <cfRule type="cellIs" dxfId="1051" priority="582" operator="equal">
      <formula>"Muy Baja"</formula>
    </cfRule>
  </conditionalFormatting>
  <conditionalFormatting sqref="AC28">
    <cfRule type="cellIs" dxfId="1050" priority="573" operator="equal">
      <formula>"Catastrófico"</formula>
    </cfRule>
    <cfRule type="cellIs" dxfId="1049" priority="574" operator="equal">
      <formula>"Mayor"</formula>
    </cfRule>
    <cfRule type="cellIs" dxfId="1048" priority="575" operator="equal">
      <formula>"Moderado"</formula>
    </cfRule>
    <cfRule type="cellIs" dxfId="1047" priority="576" operator="equal">
      <formula>"Menor"</formula>
    </cfRule>
    <cfRule type="cellIs" dxfId="1046" priority="577" operator="equal">
      <formula>"Leve"</formula>
    </cfRule>
  </conditionalFormatting>
  <conditionalFormatting sqref="AE28">
    <cfRule type="cellIs" dxfId="1045" priority="569" operator="equal">
      <formula>"Extremo"</formula>
    </cfRule>
    <cfRule type="cellIs" dxfId="1044" priority="570" operator="equal">
      <formula>"Alto"</formula>
    </cfRule>
    <cfRule type="cellIs" dxfId="1043" priority="571" operator="equal">
      <formula>"Moderado"</formula>
    </cfRule>
    <cfRule type="cellIs" dxfId="1042" priority="572" operator="equal">
      <formula>"Bajo"</formula>
    </cfRule>
  </conditionalFormatting>
  <conditionalFormatting sqref="I33">
    <cfRule type="cellIs" dxfId="1041" priority="564" operator="equal">
      <formula>"Muy Alta"</formula>
    </cfRule>
    <cfRule type="cellIs" dxfId="1040" priority="565" operator="equal">
      <formula>"Alta"</formula>
    </cfRule>
    <cfRule type="cellIs" dxfId="1039" priority="566" operator="equal">
      <formula>"Media"</formula>
    </cfRule>
    <cfRule type="cellIs" dxfId="1038" priority="567" operator="equal">
      <formula>"Baja"</formula>
    </cfRule>
    <cfRule type="cellIs" dxfId="1037" priority="568" operator="equal">
      <formula>"Muy Baja"</formula>
    </cfRule>
  </conditionalFormatting>
  <conditionalFormatting sqref="M33">
    <cfRule type="containsText" dxfId="1036" priority="563" operator="containsText" text="❌">
      <formula>NOT(ISERROR(SEARCH("❌",M33)))</formula>
    </cfRule>
  </conditionalFormatting>
  <conditionalFormatting sqref="I34">
    <cfRule type="cellIs" dxfId="1035" priority="558" operator="equal">
      <formula>"Muy Alta"</formula>
    </cfRule>
    <cfRule type="cellIs" dxfId="1034" priority="559" operator="equal">
      <formula>"Alta"</formula>
    </cfRule>
    <cfRule type="cellIs" dxfId="1033" priority="560" operator="equal">
      <formula>"Media"</formula>
    </cfRule>
    <cfRule type="cellIs" dxfId="1032" priority="561" operator="equal">
      <formula>"Baja"</formula>
    </cfRule>
    <cfRule type="cellIs" dxfId="1031" priority="562" operator="equal">
      <formula>"Muy Baja"</formula>
    </cfRule>
  </conditionalFormatting>
  <conditionalFormatting sqref="M34">
    <cfRule type="containsText" dxfId="1030" priority="557" operator="containsText" text="❌">
      <formula>NOT(ISERROR(SEARCH("❌",M34)))</formula>
    </cfRule>
  </conditionalFormatting>
  <conditionalFormatting sqref="M35">
    <cfRule type="containsText" dxfId="1029" priority="555" operator="containsText" text="❌">
      <formula>NOT(ISERROR(SEARCH("❌",M35)))</formula>
    </cfRule>
  </conditionalFormatting>
  <conditionalFormatting sqref="I37">
    <cfRule type="cellIs" dxfId="1028" priority="538" operator="equal">
      <formula>"Muy Alta"</formula>
    </cfRule>
    <cfRule type="cellIs" dxfId="1027" priority="539" operator="equal">
      <formula>"Alta"</formula>
    </cfRule>
    <cfRule type="cellIs" dxfId="1026" priority="540" operator="equal">
      <formula>"Media"</formula>
    </cfRule>
    <cfRule type="cellIs" dxfId="1025" priority="541" operator="equal">
      <formula>"Baja"</formula>
    </cfRule>
    <cfRule type="cellIs" dxfId="1024" priority="542" operator="equal">
      <formula>"Muy Baja"</formula>
    </cfRule>
  </conditionalFormatting>
  <conditionalFormatting sqref="I36">
    <cfRule type="cellIs" dxfId="1023" priority="532" operator="equal">
      <formula>"Muy Alta"</formula>
    </cfRule>
    <cfRule type="cellIs" dxfId="1022" priority="533" operator="equal">
      <formula>"Alta"</formula>
    </cfRule>
    <cfRule type="cellIs" dxfId="1021" priority="534" operator="equal">
      <formula>"Media"</formula>
    </cfRule>
    <cfRule type="cellIs" dxfId="1020" priority="535" operator="equal">
      <formula>"Baja"</formula>
    </cfRule>
    <cfRule type="cellIs" dxfId="1019" priority="536" operator="equal">
      <formula>"Muy Baja"</formula>
    </cfRule>
  </conditionalFormatting>
  <conditionalFormatting sqref="M36">
    <cfRule type="containsText" dxfId="1018" priority="531" operator="containsText" text="❌">
      <formula>NOT(ISERROR(SEARCH("❌",M36)))</formula>
    </cfRule>
  </conditionalFormatting>
  <conditionalFormatting sqref="M37">
    <cfRule type="containsText" dxfId="1017" priority="530" operator="containsText" text="❌">
      <formula>NOT(ISERROR(SEARCH("❌",M37)))</formula>
    </cfRule>
  </conditionalFormatting>
  <conditionalFormatting sqref="P37">
    <cfRule type="cellIs" dxfId="1016" priority="526" operator="equal">
      <formula>"Extremo"</formula>
    </cfRule>
    <cfRule type="cellIs" dxfId="1015" priority="527" operator="equal">
      <formula>"Alto"</formula>
    </cfRule>
    <cfRule type="cellIs" dxfId="1014" priority="528" operator="equal">
      <formula>"Moderado"</formula>
    </cfRule>
    <cfRule type="cellIs" dxfId="1013" priority="529" operator="equal">
      <formula>"Bajo"</formula>
    </cfRule>
  </conditionalFormatting>
  <conditionalFormatting sqref="N37">
    <cfRule type="cellIs" dxfId="1012" priority="521" operator="equal">
      <formula>"Catastrófico"</formula>
    </cfRule>
    <cfRule type="cellIs" dxfId="1011" priority="522" operator="equal">
      <formula>"Mayor"</formula>
    </cfRule>
    <cfRule type="cellIs" dxfId="1010" priority="523" operator="equal">
      <formula>"Moderado"</formula>
    </cfRule>
    <cfRule type="cellIs" dxfId="1009" priority="524" operator="equal">
      <formula>"Menor"</formula>
    </cfRule>
    <cfRule type="cellIs" dxfId="1008" priority="525" operator="equal">
      <formula>"Leve"</formula>
    </cfRule>
  </conditionalFormatting>
  <conditionalFormatting sqref="AA42">
    <cfRule type="cellIs" dxfId="1007" priority="104" operator="equal">
      <formula>"Muy Alta"</formula>
    </cfRule>
    <cfRule type="cellIs" dxfId="1006" priority="105" operator="equal">
      <formula>"Alta"</formula>
    </cfRule>
    <cfRule type="cellIs" dxfId="1005" priority="106" operator="equal">
      <formula>"Media"</formula>
    </cfRule>
    <cfRule type="cellIs" dxfId="1004" priority="107" operator="equal">
      <formula>"Baja"</formula>
    </cfRule>
    <cfRule type="cellIs" dxfId="1003" priority="108" operator="equal">
      <formula>"Muy Baja"</formula>
    </cfRule>
  </conditionalFormatting>
  <conditionalFormatting sqref="AC42">
    <cfRule type="cellIs" dxfId="1002" priority="99" operator="equal">
      <formula>"Catastrófico"</formula>
    </cfRule>
    <cfRule type="cellIs" dxfId="1001" priority="100" operator="equal">
      <formula>"Mayor"</formula>
    </cfRule>
    <cfRule type="cellIs" dxfId="1000" priority="101" operator="equal">
      <formula>"Moderado"</formula>
    </cfRule>
    <cfRule type="cellIs" dxfId="999" priority="102" operator="equal">
      <formula>"Menor"</formula>
    </cfRule>
    <cfRule type="cellIs" dxfId="998" priority="103" operator="equal">
      <formula>"Leve"</formula>
    </cfRule>
  </conditionalFormatting>
  <conditionalFormatting sqref="AE42">
    <cfRule type="cellIs" dxfId="997" priority="95" operator="equal">
      <formula>"Extremo"</formula>
    </cfRule>
    <cfRule type="cellIs" dxfId="996" priority="96" operator="equal">
      <formula>"Alto"</formula>
    </cfRule>
    <cfRule type="cellIs" dxfId="995" priority="97" operator="equal">
      <formula>"Moderado"</formula>
    </cfRule>
    <cfRule type="cellIs" dxfId="994" priority="98" operator="equal">
      <formula>"Bajo"</formula>
    </cfRule>
  </conditionalFormatting>
  <conditionalFormatting sqref="AA15">
    <cfRule type="cellIs" dxfId="993" priority="460" operator="equal">
      <formula>"Muy Alta"</formula>
    </cfRule>
    <cfRule type="cellIs" dxfId="992" priority="461" operator="equal">
      <formula>"Alta"</formula>
    </cfRule>
    <cfRule type="cellIs" dxfId="991" priority="462" operator="equal">
      <formula>"Media"</formula>
    </cfRule>
    <cfRule type="cellIs" dxfId="990" priority="463" operator="equal">
      <formula>"Baja"</formula>
    </cfRule>
    <cfRule type="cellIs" dxfId="989" priority="464" operator="equal">
      <formula>"Muy Baja"</formula>
    </cfRule>
  </conditionalFormatting>
  <conditionalFormatting sqref="AC15">
    <cfRule type="cellIs" dxfId="988" priority="455" operator="equal">
      <formula>"Catastrófico"</formula>
    </cfRule>
    <cfRule type="cellIs" dxfId="987" priority="456" operator="equal">
      <formula>"Mayor"</formula>
    </cfRule>
    <cfRule type="cellIs" dxfId="986" priority="457" operator="equal">
      <formula>"Moderado"</formula>
    </cfRule>
    <cfRule type="cellIs" dxfId="985" priority="458" operator="equal">
      <formula>"Menor"</formula>
    </cfRule>
    <cfRule type="cellIs" dxfId="984" priority="459" operator="equal">
      <formula>"Leve"</formula>
    </cfRule>
  </conditionalFormatting>
  <conditionalFormatting sqref="AE15">
    <cfRule type="cellIs" dxfId="983" priority="451" operator="equal">
      <formula>"Extremo"</formula>
    </cfRule>
    <cfRule type="cellIs" dxfId="982" priority="452" operator="equal">
      <formula>"Alto"</formula>
    </cfRule>
    <cfRule type="cellIs" dxfId="981" priority="453" operator="equal">
      <formula>"Moderado"</formula>
    </cfRule>
    <cfRule type="cellIs" dxfId="980" priority="454" operator="equal">
      <formula>"Bajo"</formula>
    </cfRule>
  </conditionalFormatting>
  <conditionalFormatting sqref="AA7">
    <cfRule type="cellIs" dxfId="979" priority="390" operator="equal">
      <formula>"Muy Alta"</formula>
    </cfRule>
    <cfRule type="cellIs" dxfId="978" priority="391" operator="equal">
      <formula>"Alta"</formula>
    </cfRule>
    <cfRule type="cellIs" dxfId="977" priority="392" operator="equal">
      <formula>"Media"</formula>
    </cfRule>
    <cfRule type="cellIs" dxfId="976" priority="393" operator="equal">
      <formula>"Baja"</formula>
    </cfRule>
    <cfRule type="cellIs" dxfId="975" priority="394" operator="equal">
      <formula>"Muy Baja"</formula>
    </cfRule>
  </conditionalFormatting>
  <conditionalFormatting sqref="AC7">
    <cfRule type="cellIs" dxfId="974" priority="385" operator="equal">
      <formula>"Catastrófico"</formula>
    </cfRule>
    <cfRule type="cellIs" dxfId="973" priority="386" operator="equal">
      <formula>"Mayor"</formula>
    </cfRule>
    <cfRule type="cellIs" dxfId="972" priority="387" operator="equal">
      <formula>"Moderado"</formula>
    </cfRule>
    <cfRule type="cellIs" dxfId="971" priority="388" operator="equal">
      <formula>"Menor"</formula>
    </cfRule>
    <cfRule type="cellIs" dxfId="970" priority="389" operator="equal">
      <formula>"Leve"</formula>
    </cfRule>
  </conditionalFormatting>
  <conditionalFormatting sqref="AE7">
    <cfRule type="cellIs" dxfId="969" priority="381" operator="equal">
      <formula>"Extremo"</formula>
    </cfRule>
    <cfRule type="cellIs" dxfId="968" priority="382" operator="equal">
      <formula>"Alto"</formula>
    </cfRule>
    <cfRule type="cellIs" dxfId="967" priority="383" operator="equal">
      <formula>"Moderado"</formula>
    </cfRule>
    <cfRule type="cellIs" dxfId="966" priority="384" operator="equal">
      <formula>"Bajo"</formula>
    </cfRule>
  </conditionalFormatting>
  <conditionalFormatting sqref="AA41">
    <cfRule type="cellIs" dxfId="965" priority="118" operator="equal">
      <formula>"Muy Alta"</formula>
    </cfRule>
    <cfRule type="cellIs" dxfId="964" priority="119" operator="equal">
      <formula>"Alta"</formula>
    </cfRule>
    <cfRule type="cellIs" dxfId="963" priority="120" operator="equal">
      <formula>"Media"</formula>
    </cfRule>
    <cfRule type="cellIs" dxfId="962" priority="121" operator="equal">
      <formula>"Baja"</formula>
    </cfRule>
    <cfRule type="cellIs" dxfId="961" priority="122" operator="equal">
      <formula>"Muy Baja"</formula>
    </cfRule>
  </conditionalFormatting>
  <conditionalFormatting sqref="AC41">
    <cfRule type="cellIs" dxfId="960" priority="113" operator="equal">
      <formula>"Catastrófico"</formula>
    </cfRule>
    <cfRule type="cellIs" dxfId="959" priority="114" operator="equal">
      <formula>"Mayor"</formula>
    </cfRule>
    <cfRule type="cellIs" dxfId="958" priority="115" operator="equal">
      <formula>"Moderado"</formula>
    </cfRule>
    <cfRule type="cellIs" dxfId="957" priority="116" operator="equal">
      <formula>"Menor"</formula>
    </cfRule>
    <cfRule type="cellIs" dxfId="956" priority="117" operator="equal">
      <formula>"Leve"</formula>
    </cfRule>
  </conditionalFormatting>
  <conditionalFormatting sqref="AE41">
    <cfRule type="cellIs" dxfId="955" priority="109" operator="equal">
      <formula>"Extremo"</formula>
    </cfRule>
    <cfRule type="cellIs" dxfId="954" priority="110" operator="equal">
      <formula>"Alto"</formula>
    </cfRule>
    <cfRule type="cellIs" dxfId="953" priority="111" operator="equal">
      <formula>"Moderado"</formula>
    </cfRule>
    <cfRule type="cellIs" dxfId="952" priority="112" operator="equal">
      <formula>"Bajo"</formula>
    </cfRule>
  </conditionalFormatting>
  <conditionalFormatting sqref="AA22">
    <cfRule type="cellIs" dxfId="951" priority="376" operator="equal">
      <formula>"Muy Alta"</formula>
    </cfRule>
    <cfRule type="cellIs" dxfId="950" priority="377" operator="equal">
      <formula>"Alta"</formula>
    </cfRule>
    <cfRule type="cellIs" dxfId="949" priority="378" operator="equal">
      <formula>"Media"</formula>
    </cfRule>
    <cfRule type="cellIs" dxfId="948" priority="379" operator="equal">
      <formula>"Baja"</formula>
    </cfRule>
    <cfRule type="cellIs" dxfId="947" priority="380" operator="equal">
      <formula>"Muy Baja"</formula>
    </cfRule>
  </conditionalFormatting>
  <conditionalFormatting sqref="AC22">
    <cfRule type="cellIs" dxfId="946" priority="371" operator="equal">
      <formula>"Catastrófico"</formula>
    </cfRule>
    <cfRule type="cellIs" dxfId="945" priority="372" operator="equal">
      <formula>"Mayor"</formula>
    </cfRule>
    <cfRule type="cellIs" dxfId="944" priority="373" operator="equal">
      <formula>"Moderado"</formula>
    </cfRule>
    <cfRule type="cellIs" dxfId="943" priority="374" operator="equal">
      <formula>"Menor"</formula>
    </cfRule>
    <cfRule type="cellIs" dxfId="942" priority="375" operator="equal">
      <formula>"Leve"</formula>
    </cfRule>
  </conditionalFormatting>
  <conditionalFormatting sqref="AE22">
    <cfRule type="cellIs" dxfId="941" priority="367" operator="equal">
      <formula>"Extremo"</formula>
    </cfRule>
    <cfRule type="cellIs" dxfId="940" priority="368" operator="equal">
      <formula>"Alto"</formula>
    </cfRule>
    <cfRule type="cellIs" dxfId="939" priority="369" operator="equal">
      <formula>"Moderado"</formula>
    </cfRule>
    <cfRule type="cellIs" dxfId="938" priority="370" operator="equal">
      <formula>"Bajo"</formula>
    </cfRule>
  </conditionalFormatting>
  <conditionalFormatting sqref="AA26">
    <cfRule type="cellIs" dxfId="937" priority="362" operator="equal">
      <formula>"Muy Alta"</formula>
    </cfRule>
    <cfRule type="cellIs" dxfId="936" priority="363" operator="equal">
      <formula>"Alta"</formula>
    </cfRule>
    <cfRule type="cellIs" dxfId="935" priority="364" operator="equal">
      <formula>"Media"</formula>
    </cfRule>
    <cfRule type="cellIs" dxfId="934" priority="365" operator="equal">
      <formula>"Baja"</formula>
    </cfRule>
    <cfRule type="cellIs" dxfId="933" priority="366" operator="equal">
      <formula>"Muy Baja"</formula>
    </cfRule>
  </conditionalFormatting>
  <conditionalFormatting sqref="AC26">
    <cfRule type="cellIs" dxfId="932" priority="357" operator="equal">
      <formula>"Catastrófico"</formula>
    </cfRule>
    <cfRule type="cellIs" dxfId="931" priority="358" operator="equal">
      <formula>"Mayor"</formula>
    </cfRule>
    <cfRule type="cellIs" dxfId="930" priority="359" operator="equal">
      <formula>"Moderado"</formula>
    </cfRule>
    <cfRule type="cellIs" dxfId="929" priority="360" operator="equal">
      <formula>"Menor"</formula>
    </cfRule>
    <cfRule type="cellIs" dxfId="928" priority="361" operator="equal">
      <formula>"Leve"</formula>
    </cfRule>
  </conditionalFormatting>
  <conditionalFormatting sqref="AE26">
    <cfRule type="cellIs" dxfId="927" priority="353" operator="equal">
      <formula>"Extremo"</formula>
    </cfRule>
    <cfRule type="cellIs" dxfId="926" priority="354" operator="equal">
      <formula>"Alto"</formula>
    </cfRule>
    <cfRule type="cellIs" dxfId="925" priority="355" operator="equal">
      <formula>"Moderado"</formula>
    </cfRule>
    <cfRule type="cellIs" dxfId="924" priority="356" operator="equal">
      <formula>"Bajo"</formula>
    </cfRule>
  </conditionalFormatting>
  <conditionalFormatting sqref="AA27">
    <cfRule type="cellIs" dxfId="923" priority="334" operator="equal">
      <formula>"Muy Alta"</formula>
    </cfRule>
    <cfRule type="cellIs" dxfId="922" priority="335" operator="equal">
      <formula>"Alta"</formula>
    </cfRule>
    <cfRule type="cellIs" dxfId="921" priority="336" operator="equal">
      <formula>"Media"</formula>
    </cfRule>
    <cfRule type="cellIs" dxfId="920" priority="337" operator="equal">
      <formula>"Baja"</formula>
    </cfRule>
    <cfRule type="cellIs" dxfId="919" priority="338" operator="equal">
      <formula>"Muy Baja"</formula>
    </cfRule>
  </conditionalFormatting>
  <conditionalFormatting sqref="AC27">
    <cfRule type="cellIs" dxfId="918" priority="329" operator="equal">
      <formula>"Catastrófico"</formula>
    </cfRule>
    <cfRule type="cellIs" dxfId="917" priority="330" operator="equal">
      <formula>"Mayor"</formula>
    </cfRule>
    <cfRule type="cellIs" dxfId="916" priority="331" operator="equal">
      <formula>"Moderado"</formula>
    </cfRule>
    <cfRule type="cellIs" dxfId="915" priority="332" operator="equal">
      <formula>"Menor"</formula>
    </cfRule>
    <cfRule type="cellIs" dxfId="914" priority="333" operator="equal">
      <formula>"Leve"</formula>
    </cfRule>
  </conditionalFormatting>
  <conditionalFormatting sqref="AE27">
    <cfRule type="cellIs" dxfId="913" priority="325" operator="equal">
      <formula>"Extremo"</formula>
    </cfRule>
    <cfRule type="cellIs" dxfId="912" priority="326" operator="equal">
      <formula>"Alto"</formula>
    </cfRule>
    <cfRule type="cellIs" dxfId="911" priority="327" operator="equal">
      <formula>"Moderado"</formula>
    </cfRule>
    <cfRule type="cellIs" dxfId="910" priority="328" operator="equal">
      <formula>"Bajo"</formula>
    </cfRule>
  </conditionalFormatting>
  <conditionalFormatting sqref="AA29">
    <cfRule type="cellIs" dxfId="909" priority="320" operator="equal">
      <formula>"Muy Alta"</formula>
    </cfRule>
    <cfRule type="cellIs" dxfId="908" priority="321" operator="equal">
      <formula>"Alta"</formula>
    </cfRule>
    <cfRule type="cellIs" dxfId="907" priority="322" operator="equal">
      <formula>"Media"</formula>
    </cfRule>
    <cfRule type="cellIs" dxfId="906" priority="323" operator="equal">
      <formula>"Baja"</formula>
    </cfRule>
    <cfRule type="cellIs" dxfId="905" priority="324" operator="equal">
      <formula>"Muy Baja"</formula>
    </cfRule>
  </conditionalFormatting>
  <conditionalFormatting sqref="AC29">
    <cfRule type="cellIs" dxfId="904" priority="315" operator="equal">
      <formula>"Catastrófico"</formula>
    </cfRule>
    <cfRule type="cellIs" dxfId="903" priority="316" operator="equal">
      <formula>"Mayor"</formula>
    </cfRule>
    <cfRule type="cellIs" dxfId="902" priority="317" operator="equal">
      <formula>"Moderado"</formula>
    </cfRule>
    <cfRule type="cellIs" dxfId="901" priority="318" operator="equal">
      <formula>"Menor"</formula>
    </cfRule>
    <cfRule type="cellIs" dxfId="900" priority="319" operator="equal">
      <formula>"Leve"</formula>
    </cfRule>
  </conditionalFormatting>
  <conditionalFormatting sqref="AE29">
    <cfRule type="cellIs" dxfId="899" priority="311" operator="equal">
      <formula>"Extremo"</formula>
    </cfRule>
    <cfRule type="cellIs" dxfId="898" priority="312" operator="equal">
      <formula>"Alto"</formula>
    </cfRule>
    <cfRule type="cellIs" dxfId="897" priority="313" operator="equal">
      <formula>"Moderado"</formula>
    </cfRule>
    <cfRule type="cellIs" dxfId="896" priority="314" operator="equal">
      <formula>"Bajo"</formula>
    </cfRule>
  </conditionalFormatting>
  <conditionalFormatting sqref="AA32">
    <cfRule type="cellIs" dxfId="895" priority="306" operator="equal">
      <formula>"Muy Alta"</formula>
    </cfRule>
    <cfRule type="cellIs" dxfId="894" priority="307" operator="equal">
      <formula>"Alta"</formula>
    </cfRule>
    <cfRule type="cellIs" dxfId="893" priority="308" operator="equal">
      <formula>"Media"</formula>
    </cfRule>
    <cfRule type="cellIs" dxfId="892" priority="309" operator="equal">
      <formula>"Baja"</formula>
    </cfRule>
    <cfRule type="cellIs" dxfId="891" priority="310" operator="equal">
      <formula>"Muy Baja"</formula>
    </cfRule>
  </conditionalFormatting>
  <conditionalFormatting sqref="AC32">
    <cfRule type="cellIs" dxfId="890" priority="301" operator="equal">
      <formula>"Catastrófico"</formula>
    </cfRule>
    <cfRule type="cellIs" dxfId="889" priority="302" operator="equal">
      <formula>"Mayor"</formula>
    </cfRule>
    <cfRule type="cellIs" dxfId="888" priority="303" operator="equal">
      <formula>"Moderado"</formula>
    </cfRule>
    <cfRule type="cellIs" dxfId="887" priority="304" operator="equal">
      <formula>"Menor"</formula>
    </cfRule>
    <cfRule type="cellIs" dxfId="886" priority="305" operator="equal">
      <formula>"Leve"</formula>
    </cfRule>
  </conditionalFormatting>
  <conditionalFormatting sqref="AE32">
    <cfRule type="cellIs" dxfId="885" priority="297" operator="equal">
      <formula>"Extremo"</formula>
    </cfRule>
    <cfRule type="cellIs" dxfId="884" priority="298" operator="equal">
      <formula>"Alto"</formula>
    </cfRule>
    <cfRule type="cellIs" dxfId="883" priority="299" operator="equal">
      <formula>"Moderado"</formula>
    </cfRule>
    <cfRule type="cellIs" dxfId="882" priority="300" operator="equal">
      <formula>"Bajo"</formula>
    </cfRule>
  </conditionalFormatting>
  <conditionalFormatting sqref="AA37">
    <cfRule type="cellIs" dxfId="881" priority="292" operator="equal">
      <formula>"Muy Alta"</formula>
    </cfRule>
    <cfRule type="cellIs" dxfId="880" priority="293" operator="equal">
      <formula>"Alta"</formula>
    </cfRule>
    <cfRule type="cellIs" dxfId="879" priority="294" operator="equal">
      <formula>"Media"</formula>
    </cfRule>
    <cfRule type="cellIs" dxfId="878" priority="295" operator="equal">
      <formula>"Baja"</formula>
    </cfRule>
    <cfRule type="cellIs" dxfId="877" priority="296" operator="equal">
      <formula>"Muy Baja"</formula>
    </cfRule>
  </conditionalFormatting>
  <conditionalFormatting sqref="AC37">
    <cfRule type="cellIs" dxfId="876" priority="287" operator="equal">
      <formula>"Catastrófico"</formula>
    </cfRule>
    <cfRule type="cellIs" dxfId="875" priority="288" operator="equal">
      <formula>"Mayor"</formula>
    </cfRule>
    <cfRule type="cellIs" dxfId="874" priority="289" operator="equal">
      <formula>"Moderado"</formula>
    </cfRule>
    <cfRule type="cellIs" dxfId="873" priority="290" operator="equal">
      <formula>"Menor"</formula>
    </cfRule>
    <cfRule type="cellIs" dxfId="872" priority="291" operator="equal">
      <formula>"Leve"</formula>
    </cfRule>
  </conditionalFormatting>
  <conditionalFormatting sqref="AE37">
    <cfRule type="cellIs" dxfId="871" priority="283" operator="equal">
      <formula>"Extremo"</formula>
    </cfRule>
    <cfRule type="cellIs" dxfId="870" priority="284" operator="equal">
      <formula>"Alto"</formula>
    </cfRule>
    <cfRule type="cellIs" dxfId="869" priority="285" operator="equal">
      <formula>"Moderado"</formula>
    </cfRule>
    <cfRule type="cellIs" dxfId="868" priority="286" operator="equal">
      <formula>"Bajo"</formula>
    </cfRule>
  </conditionalFormatting>
  <conditionalFormatting sqref="I38">
    <cfRule type="cellIs" dxfId="867" priority="278" operator="equal">
      <formula>"Muy Alta"</formula>
    </cfRule>
    <cfRule type="cellIs" dxfId="866" priority="279" operator="equal">
      <formula>"Alta"</formula>
    </cfRule>
    <cfRule type="cellIs" dxfId="865" priority="280" operator="equal">
      <formula>"Media"</formula>
    </cfRule>
    <cfRule type="cellIs" dxfId="864" priority="281" operator="equal">
      <formula>"Baja"</formula>
    </cfRule>
    <cfRule type="cellIs" dxfId="863" priority="282" operator="equal">
      <formula>"Muy Baja"</formula>
    </cfRule>
  </conditionalFormatting>
  <conditionalFormatting sqref="M39">
    <cfRule type="containsText" dxfId="862" priority="277" operator="containsText" text="❌">
      <formula>NOT(ISERROR(SEARCH("❌",M39)))</formula>
    </cfRule>
  </conditionalFormatting>
  <conditionalFormatting sqref="P39">
    <cfRule type="cellIs" dxfId="861" priority="273" operator="equal">
      <formula>"Extremo"</formula>
    </cfRule>
    <cfRule type="cellIs" dxfId="860" priority="274" operator="equal">
      <formula>"Alto"</formula>
    </cfRule>
    <cfRule type="cellIs" dxfId="859" priority="275" operator="equal">
      <formula>"Moderado"</formula>
    </cfRule>
    <cfRule type="cellIs" dxfId="858" priority="276" operator="equal">
      <formula>"Bajo"</formula>
    </cfRule>
  </conditionalFormatting>
  <conditionalFormatting sqref="N39">
    <cfRule type="cellIs" dxfId="857" priority="268" operator="equal">
      <formula>"Catastrófico"</formula>
    </cfRule>
    <cfRule type="cellIs" dxfId="856" priority="269" operator="equal">
      <formula>"Mayor"</formula>
    </cfRule>
    <cfRule type="cellIs" dxfId="855" priority="270" operator="equal">
      <formula>"Moderado"</formula>
    </cfRule>
    <cfRule type="cellIs" dxfId="854" priority="271" operator="equal">
      <formula>"Menor"</formula>
    </cfRule>
    <cfRule type="cellIs" dxfId="853" priority="272" operator="equal">
      <formula>"Leve"</formula>
    </cfRule>
  </conditionalFormatting>
  <conditionalFormatting sqref="I39">
    <cfRule type="cellIs" dxfId="852" priority="263" operator="equal">
      <formula>"Muy Alta"</formula>
    </cfRule>
    <cfRule type="cellIs" dxfId="851" priority="264" operator="equal">
      <formula>"Alta"</formula>
    </cfRule>
    <cfRule type="cellIs" dxfId="850" priority="265" operator="equal">
      <formula>"Media"</formula>
    </cfRule>
    <cfRule type="cellIs" dxfId="849" priority="266" operator="equal">
      <formula>"Baja"</formula>
    </cfRule>
    <cfRule type="cellIs" dxfId="848" priority="267" operator="equal">
      <formula>"Muy Baja"</formula>
    </cfRule>
  </conditionalFormatting>
  <conditionalFormatting sqref="AA39">
    <cfRule type="cellIs" dxfId="847" priority="258" operator="equal">
      <formula>"Muy Alta"</formula>
    </cfRule>
    <cfRule type="cellIs" dxfId="846" priority="259" operator="equal">
      <formula>"Alta"</formula>
    </cfRule>
    <cfRule type="cellIs" dxfId="845" priority="260" operator="equal">
      <formula>"Media"</formula>
    </cfRule>
    <cfRule type="cellIs" dxfId="844" priority="261" operator="equal">
      <formula>"Baja"</formula>
    </cfRule>
    <cfRule type="cellIs" dxfId="843" priority="262" operator="equal">
      <formula>"Muy Baja"</formula>
    </cfRule>
  </conditionalFormatting>
  <conditionalFormatting sqref="AC39">
    <cfRule type="cellIs" dxfId="842" priority="253" operator="equal">
      <formula>"Catastrófico"</formula>
    </cfRule>
    <cfRule type="cellIs" dxfId="841" priority="254" operator="equal">
      <formula>"Mayor"</formula>
    </cfRule>
    <cfRule type="cellIs" dxfId="840" priority="255" operator="equal">
      <formula>"Moderado"</formula>
    </cfRule>
    <cfRule type="cellIs" dxfId="839" priority="256" operator="equal">
      <formula>"Menor"</formula>
    </cfRule>
    <cfRule type="cellIs" dxfId="838" priority="257" operator="equal">
      <formula>"Leve"</formula>
    </cfRule>
  </conditionalFormatting>
  <conditionalFormatting sqref="AE39">
    <cfRule type="cellIs" dxfId="837" priority="249" operator="equal">
      <formula>"Extremo"</formula>
    </cfRule>
    <cfRule type="cellIs" dxfId="836" priority="250" operator="equal">
      <formula>"Alto"</formula>
    </cfRule>
    <cfRule type="cellIs" dxfId="835" priority="251" operator="equal">
      <formula>"Moderado"</formula>
    </cfRule>
    <cfRule type="cellIs" dxfId="834" priority="252" operator="equal">
      <formula>"Bajo"</formula>
    </cfRule>
  </conditionalFormatting>
  <conditionalFormatting sqref="M40">
    <cfRule type="containsText" dxfId="833" priority="248" operator="containsText" text="❌">
      <formula>NOT(ISERROR(SEARCH("❌",M40)))</formula>
    </cfRule>
  </conditionalFormatting>
  <conditionalFormatting sqref="I40">
    <cfRule type="cellIs" dxfId="832" priority="243" operator="equal">
      <formula>"Muy Alta"</formula>
    </cfRule>
    <cfRule type="cellIs" dxfId="831" priority="244" operator="equal">
      <formula>"Alta"</formula>
    </cfRule>
    <cfRule type="cellIs" dxfId="830" priority="245" operator="equal">
      <formula>"Media"</formula>
    </cfRule>
    <cfRule type="cellIs" dxfId="829" priority="246" operator="equal">
      <formula>"Baja"</formula>
    </cfRule>
    <cfRule type="cellIs" dxfId="828" priority="247" operator="equal">
      <formula>"Muy Baja"</formula>
    </cfRule>
  </conditionalFormatting>
  <conditionalFormatting sqref="P40">
    <cfRule type="cellIs" dxfId="827" priority="239" operator="equal">
      <formula>"Extremo"</formula>
    </cfRule>
    <cfRule type="cellIs" dxfId="826" priority="240" operator="equal">
      <formula>"Alto"</formula>
    </cfRule>
    <cfRule type="cellIs" dxfId="825" priority="241" operator="equal">
      <formula>"Moderado"</formula>
    </cfRule>
    <cfRule type="cellIs" dxfId="824" priority="242" operator="equal">
      <formula>"Bajo"</formula>
    </cfRule>
  </conditionalFormatting>
  <conditionalFormatting sqref="N40">
    <cfRule type="cellIs" dxfId="823" priority="234" operator="equal">
      <formula>"Catastrófico"</formula>
    </cfRule>
    <cfRule type="cellIs" dxfId="822" priority="235" operator="equal">
      <formula>"Mayor"</formula>
    </cfRule>
    <cfRule type="cellIs" dxfId="821" priority="236" operator="equal">
      <formula>"Moderado"</formula>
    </cfRule>
    <cfRule type="cellIs" dxfId="820" priority="237" operator="equal">
      <formula>"Menor"</formula>
    </cfRule>
    <cfRule type="cellIs" dxfId="819" priority="238" operator="equal">
      <formula>"Leve"</formula>
    </cfRule>
  </conditionalFormatting>
  <conditionalFormatting sqref="AA40">
    <cfRule type="cellIs" dxfId="818" priority="229" operator="equal">
      <formula>"Muy Alta"</formula>
    </cfRule>
    <cfRule type="cellIs" dxfId="817" priority="230" operator="equal">
      <formula>"Alta"</formula>
    </cfRule>
    <cfRule type="cellIs" dxfId="816" priority="231" operator="equal">
      <formula>"Media"</formula>
    </cfRule>
    <cfRule type="cellIs" dxfId="815" priority="232" operator="equal">
      <formula>"Baja"</formula>
    </cfRule>
    <cfRule type="cellIs" dxfId="814" priority="233" operator="equal">
      <formula>"Muy Baja"</formula>
    </cfRule>
  </conditionalFormatting>
  <conditionalFormatting sqref="AC40">
    <cfRule type="cellIs" dxfId="813" priority="224" operator="equal">
      <formula>"Catastrófico"</formula>
    </cfRule>
    <cfRule type="cellIs" dxfId="812" priority="225" operator="equal">
      <formula>"Mayor"</formula>
    </cfRule>
    <cfRule type="cellIs" dxfId="811" priority="226" operator="equal">
      <formula>"Moderado"</formula>
    </cfRule>
    <cfRule type="cellIs" dxfId="810" priority="227" operator="equal">
      <formula>"Menor"</formula>
    </cfRule>
    <cfRule type="cellIs" dxfId="809" priority="228" operator="equal">
      <formula>"Leve"</formula>
    </cfRule>
  </conditionalFormatting>
  <conditionalFormatting sqref="AE40">
    <cfRule type="cellIs" dxfId="808" priority="220" operator="equal">
      <formula>"Extremo"</formula>
    </cfRule>
    <cfRule type="cellIs" dxfId="807" priority="221" operator="equal">
      <formula>"Alto"</formula>
    </cfRule>
    <cfRule type="cellIs" dxfId="806" priority="222" operator="equal">
      <formula>"Moderado"</formula>
    </cfRule>
    <cfRule type="cellIs" dxfId="805" priority="223" operator="equal">
      <formula>"Bajo"</formula>
    </cfRule>
  </conditionalFormatting>
  <conditionalFormatting sqref="I42">
    <cfRule type="cellIs" dxfId="804" priority="215" operator="equal">
      <formula>"Muy Alta"</formula>
    </cfRule>
    <cfRule type="cellIs" dxfId="803" priority="216" operator="equal">
      <formula>"Alta"</formula>
    </cfRule>
    <cfRule type="cellIs" dxfId="802" priority="217" operator="equal">
      <formula>"Media"</formula>
    </cfRule>
    <cfRule type="cellIs" dxfId="801" priority="218" operator="equal">
      <formula>"Baja"</formula>
    </cfRule>
    <cfRule type="cellIs" dxfId="800" priority="219" operator="equal">
      <formula>"Muy Baja"</formula>
    </cfRule>
  </conditionalFormatting>
  <conditionalFormatting sqref="M42">
    <cfRule type="containsText" dxfId="799" priority="214" operator="containsText" text="❌">
      <formula>NOT(ISERROR(SEARCH("❌",M42)))</formula>
    </cfRule>
  </conditionalFormatting>
  <conditionalFormatting sqref="P42">
    <cfRule type="cellIs" dxfId="798" priority="210" operator="equal">
      <formula>"Extremo"</formula>
    </cfRule>
    <cfRule type="cellIs" dxfId="797" priority="211" operator="equal">
      <formula>"Alto"</formula>
    </cfRule>
    <cfRule type="cellIs" dxfId="796" priority="212" operator="equal">
      <formula>"Moderado"</formula>
    </cfRule>
    <cfRule type="cellIs" dxfId="795" priority="213" operator="equal">
      <formula>"Bajo"</formula>
    </cfRule>
  </conditionalFormatting>
  <conditionalFormatting sqref="N42">
    <cfRule type="cellIs" dxfId="794" priority="205" operator="equal">
      <formula>"Catastrófico"</formula>
    </cfRule>
    <cfRule type="cellIs" dxfId="793" priority="206" operator="equal">
      <formula>"Mayor"</formula>
    </cfRule>
    <cfRule type="cellIs" dxfId="792" priority="207" operator="equal">
      <formula>"Moderado"</formula>
    </cfRule>
    <cfRule type="cellIs" dxfId="791" priority="208" operator="equal">
      <formula>"Menor"</formula>
    </cfRule>
    <cfRule type="cellIs" dxfId="790" priority="209" operator="equal">
      <formula>"Leve"</formula>
    </cfRule>
  </conditionalFormatting>
  <conditionalFormatting sqref="I43">
    <cfRule type="cellIs" dxfId="789" priority="200" operator="equal">
      <formula>"Muy Alta"</formula>
    </cfRule>
    <cfRule type="cellIs" dxfId="788" priority="201" operator="equal">
      <formula>"Alta"</formula>
    </cfRule>
    <cfRule type="cellIs" dxfId="787" priority="202" operator="equal">
      <formula>"Media"</formula>
    </cfRule>
    <cfRule type="cellIs" dxfId="786" priority="203" operator="equal">
      <formula>"Baja"</formula>
    </cfRule>
    <cfRule type="cellIs" dxfId="785" priority="204" operator="equal">
      <formula>"Muy Baja"</formula>
    </cfRule>
  </conditionalFormatting>
  <conditionalFormatting sqref="M43">
    <cfRule type="containsText" dxfId="784" priority="199" operator="containsText" text="❌">
      <formula>NOT(ISERROR(SEARCH("❌",M43)))</formula>
    </cfRule>
  </conditionalFormatting>
  <conditionalFormatting sqref="I44">
    <cfRule type="cellIs" dxfId="783" priority="194" operator="equal">
      <formula>"Muy Alta"</formula>
    </cfRule>
    <cfRule type="cellIs" dxfId="782" priority="195" operator="equal">
      <formula>"Alta"</formula>
    </cfRule>
    <cfRule type="cellIs" dxfId="781" priority="196" operator="equal">
      <formula>"Media"</formula>
    </cfRule>
    <cfRule type="cellIs" dxfId="780" priority="197" operator="equal">
      <formula>"Baja"</formula>
    </cfRule>
    <cfRule type="cellIs" dxfId="779" priority="198" operator="equal">
      <formula>"Muy Baja"</formula>
    </cfRule>
  </conditionalFormatting>
  <conditionalFormatting sqref="M44">
    <cfRule type="containsText" dxfId="778" priority="193" operator="containsText" text="❌">
      <formula>NOT(ISERROR(SEARCH("❌",M44)))</formula>
    </cfRule>
  </conditionalFormatting>
  <conditionalFormatting sqref="AA44">
    <cfRule type="cellIs" dxfId="777" priority="132" operator="equal">
      <formula>"Muy Alta"</formula>
    </cfRule>
    <cfRule type="cellIs" dxfId="776" priority="133" operator="equal">
      <formula>"Alta"</formula>
    </cfRule>
    <cfRule type="cellIs" dxfId="775" priority="134" operator="equal">
      <formula>"Media"</formula>
    </cfRule>
    <cfRule type="cellIs" dxfId="774" priority="135" operator="equal">
      <formula>"Baja"</formula>
    </cfRule>
    <cfRule type="cellIs" dxfId="773" priority="136" operator="equal">
      <formula>"Muy Baja"</formula>
    </cfRule>
  </conditionalFormatting>
  <conditionalFormatting sqref="AC44">
    <cfRule type="cellIs" dxfId="772" priority="127" operator="equal">
      <formula>"Catastrófico"</formula>
    </cfRule>
    <cfRule type="cellIs" dxfId="771" priority="128" operator="equal">
      <formula>"Mayor"</formula>
    </cfRule>
    <cfRule type="cellIs" dxfId="770" priority="129" operator="equal">
      <formula>"Moderado"</formula>
    </cfRule>
    <cfRule type="cellIs" dxfId="769" priority="130" operator="equal">
      <formula>"Menor"</formula>
    </cfRule>
    <cfRule type="cellIs" dxfId="768" priority="131" operator="equal">
      <formula>"Leve"</formula>
    </cfRule>
  </conditionalFormatting>
  <conditionalFormatting sqref="AE44">
    <cfRule type="cellIs" dxfId="767" priority="123" operator="equal">
      <formula>"Extremo"</formula>
    </cfRule>
    <cfRule type="cellIs" dxfId="766" priority="124" operator="equal">
      <formula>"Alto"</formula>
    </cfRule>
    <cfRule type="cellIs" dxfId="765" priority="125" operator="equal">
      <formula>"Moderado"</formula>
    </cfRule>
    <cfRule type="cellIs" dxfId="764" priority="126" operator="equal">
      <formula>"Bajo"</formula>
    </cfRule>
  </conditionalFormatting>
  <conditionalFormatting sqref="AA43">
    <cfRule type="cellIs" dxfId="763" priority="146" operator="equal">
      <formula>"Muy Alta"</formula>
    </cfRule>
    <cfRule type="cellIs" dxfId="762" priority="147" operator="equal">
      <formula>"Alta"</formula>
    </cfRule>
    <cfRule type="cellIs" dxfId="761" priority="148" operator="equal">
      <formula>"Media"</formula>
    </cfRule>
    <cfRule type="cellIs" dxfId="760" priority="149" operator="equal">
      <formula>"Baja"</formula>
    </cfRule>
    <cfRule type="cellIs" dxfId="759" priority="150" operator="equal">
      <formula>"Muy Baja"</formula>
    </cfRule>
  </conditionalFormatting>
  <conditionalFormatting sqref="AC43">
    <cfRule type="cellIs" dxfId="758" priority="141" operator="equal">
      <formula>"Catastrófico"</formula>
    </cfRule>
    <cfRule type="cellIs" dxfId="757" priority="142" operator="equal">
      <formula>"Mayor"</formula>
    </cfRule>
    <cfRule type="cellIs" dxfId="756" priority="143" operator="equal">
      <formula>"Moderado"</formula>
    </cfRule>
    <cfRule type="cellIs" dxfId="755" priority="144" operator="equal">
      <formula>"Menor"</formula>
    </cfRule>
    <cfRule type="cellIs" dxfId="754" priority="145" operator="equal">
      <formula>"Leve"</formula>
    </cfRule>
  </conditionalFormatting>
  <conditionalFormatting sqref="AE43">
    <cfRule type="cellIs" dxfId="753" priority="137" operator="equal">
      <formula>"Extremo"</formula>
    </cfRule>
    <cfRule type="cellIs" dxfId="752" priority="138" operator="equal">
      <formula>"Alto"</formula>
    </cfRule>
    <cfRule type="cellIs" dxfId="751" priority="139" operator="equal">
      <formula>"Moderado"</formula>
    </cfRule>
    <cfRule type="cellIs" dxfId="750" priority="140" operator="equal">
      <formula>"Bajo"</formula>
    </cfRule>
  </conditionalFormatting>
  <conditionalFormatting sqref="AA12">
    <cfRule type="cellIs" dxfId="749" priority="90" operator="equal">
      <formula>"Muy Alta"</formula>
    </cfRule>
    <cfRule type="cellIs" dxfId="748" priority="91" operator="equal">
      <formula>"Alta"</formula>
    </cfRule>
    <cfRule type="cellIs" dxfId="747" priority="92" operator="equal">
      <formula>"Media"</formula>
    </cfRule>
    <cfRule type="cellIs" dxfId="746" priority="93" operator="equal">
      <formula>"Baja"</formula>
    </cfRule>
    <cfRule type="cellIs" dxfId="745" priority="94" operator="equal">
      <formula>"Muy Baja"</formula>
    </cfRule>
  </conditionalFormatting>
  <conditionalFormatting sqref="AC12">
    <cfRule type="cellIs" dxfId="744" priority="85" operator="equal">
      <formula>"Catastrófico"</formula>
    </cfRule>
    <cfRule type="cellIs" dxfId="743" priority="86" operator="equal">
      <formula>"Mayor"</formula>
    </cfRule>
    <cfRule type="cellIs" dxfId="742" priority="87" operator="equal">
      <formula>"Moderado"</formula>
    </cfRule>
    <cfRule type="cellIs" dxfId="741" priority="88" operator="equal">
      <formula>"Menor"</formula>
    </cfRule>
    <cfRule type="cellIs" dxfId="740" priority="89" operator="equal">
      <formula>"Leve"</formula>
    </cfRule>
  </conditionalFormatting>
  <conditionalFormatting sqref="AE12">
    <cfRule type="cellIs" dxfId="739" priority="81" operator="equal">
      <formula>"Extremo"</formula>
    </cfRule>
    <cfRule type="cellIs" dxfId="738" priority="82" operator="equal">
      <formula>"Alto"</formula>
    </cfRule>
    <cfRule type="cellIs" dxfId="737" priority="83" operator="equal">
      <formula>"Moderado"</formula>
    </cfRule>
    <cfRule type="cellIs" dxfId="736" priority="84" operator="equal">
      <formula>"Bajo"</formula>
    </cfRule>
  </conditionalFormatting>
  <conditionalFormatting sqref="I13">
    <cfRule type="cellIs" dxfId="735" priority="76" operator="equal">
      <formula>"Muy Alta"</formula>
    </cfRule>
    <cfRule type="cellIs" dxfId="734" priority="77" operator="equal">
      <formula>"Alta"</formula>
    </cfRule>
    <cfRule type="cellIs" dxfId="733" priority="78" operator="equal">
      <formula>"Media"</formula>
    </cfRule>
    <cfRule type="cellIs" dxfId="732" priority="79" operator="equal">
      <formula>"Baja"</formula>
    </cfRule>
    <cfRule type="cellIs" dxfId="731" priority="80" operator="equal">
      <formula>"Muy Baja"</formula>
    </cfRule>
  </conditionalFormatting>
  <conditionalFormatting sqref="M13">
    <cfRule type="containsText" dxfId="730" priority="75" operator="containsText" text="❌">
      <formula>NOT(ISERROR(SEARCH("❌",M13)))</formula>
    </cfRule>
  </conditionalFormatting>
  <conditionalFormatting sqref="I14">
    <cfRule type="cellIs" dxfId="729" priority="70" operator="equal">
      <formula>"Muy Alta"</formula>
    </cfRule>
    <cfRule type="cellIs" dxfId="728" priority="71" operator="equal">
      <formula>"Alta"</formula>
    </cfRule>
    <cfRule type="cellIs" dxfId="727" priority="72" operator="equal">
      <formula>"Media"</formula>
    </cfRule>
    <cfRule type="cellIs" dxfId="726" priority="73" operator="equal">
      <formula>"Baja"</formula>
    </cfRule>
    <cfRule type="cellIs" dxfId="725" priority="74" operator="equal">
      <formula>"Muy Baja"</formula>
    </cfRule>
  </conditionalFormatting>
  <conditionalFormatting sqref="M14">
    <cfRule type="containsText" dxfId="724" priority="69" operator="containsText" text="❌">
      <formula>NOT(ISERROR(SEARCH("❌",M14)))</formula>
    </cfRule>
  </conditionalFormatting>
  <conditionalFormatting sqref="I16:I17">
    <cfRule type="cellIs" dxfId="723" priority="64" operator="equal">
      <formula>"Muy Alta"</formula>
    </cfRule>
    <cfRule type="cellIs" dxfId="722" priority="65" operator="equal">
      <formula>"Alta"</formula>
    </cfRule>
    <cfRule type="cellIs" dxfId="721" priority="66" operator="equal">
      <formula>"Media"</formula>
    </cfRule>
    <cfRule type="cellIs" dxfId="720" priority="67" operator="equal">
      <formula>"Baja"</formula>
    </cfRule>
    <cfRule type="cellIs" dxfId="719" priority="68" operator="equal">
      <formula>"Muy Baja"</formula>
    </cfRule>
  </conditionalFormatting>
  <conditionalFormatting sqref="M16:M17">
    <cfRule type="containsText" dxfId="718" priority="63" operator="containsText" text="❌">
      <formula>NOT(ISERROR(SEARCH("❌",M16)))</formula>
    </cfRule>
  </conditionalFormatting>
  <conditionalFormatting sqref="I18">
    <cfRule type="cellIs" dxfId="717" priority="58" operator="equal">
      <formula>"Muy Alta"</formula>
    </cfRule>
    <cfRule type="cellIs" dxfId="716" priority="59" operator="equal">
      <formula>"Alta"</formula>
    </cfRule>
    <cfRule type="cellIs" dxfId="715" priority="60" operator="equal">
      <formula>"Media"</formula>
    </cfRule>
    <cfRule type="cellIs" dxfId="714" priority="61" operator="equal">
      <formula>"Baja"</formula>
    </cfRule>
    <cfRule type="cellIs" dxfId="713" priority="62" operator="equal">
      <formula>"Muy Baja"</formula>
    </cfRule>
  </conditionalFormatting>
  <conditionalFormatting sqref="M18">
    <cfRule type="containsText" dxfId="712" priority="57" operator="containsText" text="❌">
      <formula>NOT(ISERROR(SEARCH("❌",M18)))</formula>
    </cfRule>
  </conditionalFormatting>
  <conditionalFormatting sqref="I20">
    <cfRule type="cellIs" dxfId="711" priority="52" operator="equal">
      <formula>"Muy Alta"</formula>
    </cfRule>
    <cfRule type="cellIs" dxfId="710" priority="53" operator="equal">
      <formula>"Alta"</formula>
    </cfRule>
    <cfRule type="cellIs" dxfId="709" priority="54" operator="equal">
      <formula>"Media"</formula>
    </cfRule>
    <cfRule type="cellIs" dxfId="708" priority="55" operator="equal">
      <formula>"Baja"</formula>
    </cfRule>
    <cfRule type="cellIs" dxfId="707" priority="56" operator="equal">
      <formula>"Muy Baja"</formula>
    </cfRule>
  </conditionalFormatting>
  <conditionalFormatting sqref="P20">
    <cfRule type="cellIs" dxfId="706" priority="48" operator="equal">
      <formula>"Extremo"</formula>
    </cfRule>
    <cfRule type="cellIs" dxfId="705" priority="49" operator="equal">
      <formula>"Alto"</formula>
    </cfRule>
    <cfRule type="cellIs" dxfId="704" priority="50" operator="equal">
      <formula>"Moderado"</formula>
    </cfRule>
    <cfRule type="cellIs" dxfId="703" priority="51" operator="equal">
      <formula>"Bajo"</formula>
    </cfRule>
  </conditionalFormatting>
  <conditionalFormatting sqref="N20">
    <cfRule type="cellIs" dxfId="702" priority="43" operator="equal">
      <formula>"Catastrófico"</formula>
    </cfRule>
    <cfRule type="cellIs" dxfId="701" priority="44" operator="equal">
      <formula>"Mayor"</formula>
    </cfRule>
    <cfRule type="cellIs" dxfId="700" priority="45" operator="equal">
      <formula>"Moderado"</formula>
    </cfRule>
    <cfRule type="cellIs" dxfId="699" priority="46" operator="equal">
      <formula>"Menor"</formula>
    </cfRule>
    <cfRule type="cellIs" dxfId="698" priority="47" operator="equal">
      <formula>"Leve"</formula>
    </cfRule>
  </conditionalFormatting>
  <conditionalFormatting sqref="AA19">
    <cfRule type="cellIs" dxfId="697" priority="38" operator="equal">
      <formula>"Muy Alta"</formula>
    </cfRule>
    <cfRule type="cellIs" dxfId="696" priority="39" operator="equal">
      <formula>"Alta"</formula>
    </cfRule>
    <cfRule type="cellIs" dxfId="695" priority="40" operator="equal">
      <formula>"Media"</formula>
    </cfRule>
    <cfRule type="cellIs" dxfId="694" priority="41" operator="equal">
      <formula>"Baja"</formula>
    </cfRule>
    <cfRule type="cellIs" dxfId="693" priority="42" operator="equal">
      <formula>"Muy Baja"</formula>
    </cfRule>
  </conditionalFormatting>
  <conditionalFormatting sqref="AC19">
    <cfRule type="cellIs" dxfId="692" priority="33" operator="equal">
      <formula>"Catastrófico"</formula>
    </cfRule>
    <cfRule type="cellIs" dxfId="691" priority="34" operator="equal">
      <formula>"Mayor"</formula>
    </cfRule>
    <cfRule type="cellIs" dxfId="690" priority="35" operator="equal">
      <formula>"Moderado"</formula>
    </cfRule>
    <cfRule type="cellIs" dxfId="689" priority="36" operator="equal">
      <formula>"Menor"</formula>
    </cfRule>
    <cfRule type="cellIs" dxfId="688" priority="37" operator="equal">
      <formula>"Leve"</formula>
    </cfRule>
  </conditionalFormatting>
  <conditionalFormatting sqref="AE19">
    <cfRule type="cellIs" dxfId="687" priority="29" operator="equal">
      <formula>"Extremo"</formula>
    </cfRule>
    <cfRule type="cellIs" dxfId="686" priority="30" operator="equal">
      <formula>"Alto"</formula>
    </cfRule>
    <cfRule type="cellIs" dxfId="685" priority="31" operator="equal">
      <formula>"Moderado"</formula>
    </cfRule>
    <cfRule type="cellIs" dxfId="684" priority="32" operator="equal">
      <formula>"Bajo"</formula>
    </cfRule>
  </conditionalFormatting>
  <conditionalFormatting sqref="AA20">
    <cfRule type="cellIs" dxfId="683" priority="24" operator="equal">
      <formula>"Muy Alta"</formula>
    </cfRule>
    <cfRule type="cellIs" dxfId="682" priority="25" operator="equal">
      <formula>"Alta"</formula>
    </cfRule>
    <cfRule type="cellIs" dxfId="681" priority="26" operator="equal">
      <formula>"Media"</formula>
    </cfRule>
    <cfRule type="cellIs" dxfId="680" priority="27" operator="equal">
      <formula>"Baja"</formula>
    </cfRule>
    <cfRule type="cellIs" dxfId="679" priority="28" operator="equal">
      <formula>"Muy Baja"</formula>
    </cfRule>
  </conditionalFormatting>
  <conditionalFormatting sqref="AC20">
    <cfRule type="cellIs" dxfId="678" priority="19" operator="equal">
      <formula>"Catastrófico"</formula>
    </cfRule>
    <cfRule type="cellIs" dxfId="677" priority="20" operator="equal">
      <formula>"Mayor"</formula>
    </cfRule>
    <cfRule type="cellIs" dxfId="676" priority="21" operator="equal">
      <formula>"Moderado"</formula>
    </cfRule>
    <cfRule type="cellIs" dxfId="675" priority="22" operator="equal">
      <formula>"Menor"</formula>
    </cfRule>
    <cfRule type="cellIs" dxfId="674" priority="23" operator="equal">
      <formula>"Leve"</formula>
    </cfRule>
  </conditionalFormatting>
  <conditionalFormatting sqref="AE20">
    <cfRule type="cellIs" dxfId="673" priority="15" operator="equal">
      <formula>"Extremo"</formula>
    </cfRule>
    <cfRule type="cellIs" dxfId="672" priority="16" operator="equal">
      <formula>"Alto"</formula>
    </cfRule>
    <cfRule type="cellIs" dxfId="671" priority="17" operator="equal">
      <formula>"Moderado"</formula>
    </cfRule>
    <cfRule type="cellIs" dxfId="670" priority="18" operator="equal">
      <formula>"Bajo"</formula>
    </cfRule>
  </conditionalFormatting>
  <conditionalFormatting sqref="AA21">
    <cfRule type="cellIs" dxfId="669" priority="10" operator="equal">
      <formula>"Muy Alta"</formula>
    </cfRule>
    <cfRule type="cellIs" dxfId="668" priority="11" operator="equal">
      <formula>"Alta"</formula>
    </cfRule>
    <cfRule type="cellIs" dxfId="667" priority="12" operator="equal">
      <formula>"Media"</formula>
    </cfRule>
    <cfRule type="cellIs" dxfId="666" priority="13" operator="equal">
      <formula>"Baja"</formula>
    </cfRule>
    <cfRule type="cellIs" dxfId="665" priority="14" operator="equal">
      <formula>"Muy Baja"</formula>
    </cfRule>
  </conditionalFormatting>
  <conditionalFormatting sqref="AC21">
    <cfRule type="cellIs" dxfId="664" priority="5" operator="equal">
      <formula>"Catastrófico"</formula>
    </cfRule>
    <cfRule type="cellIs" dxfId="663" priority="6" operator="equal">
      <formula>"Mayor"</formula>
    </cfRule>
    <cfRule type="cellIs" dxfId="662" priority="7" operator="equal">
      <formula>"Moderado"</formula>
    </cfRule>
    <cfRule type="cellIs" dxfId="661" priority="8" operator="equal">
      <formula>"Menor"</formula>
    </cfRule>
    <cfRule type="cellIs" dxfId="660" priority="9" operator="equal">
      <formula>"Leve"</formula>
    </cfRule>
  </conditionalFormatting>
  <conditionalFormatting sqref="AE21">
    <cfRule type="cellIs" dxfId="659" priority="1" operator="equal">
      <formula>"Extremo"</formula>
    </cfRule>
    <cfRule type="cellIs" dxfId="658" priority="2" operator="equal">
      <formula>"Alto"</formula>
    </cfRule>
    <cfRule type="cellIs" dxfId="657" priority="3" operator="equal">
      <formula>"Moderado"</formula>
    </cfRule>
    <cfRule type="cellIs" dxfId="656" priority="4" operator="equal">
      <formula>"Bajo"</formula>
    </cfRule>
  </conditionalFormatting>
  <hyperlinks>
    <hyperlink ref="R21" r:id="rId1" display="L@s coordinadores de la Dirección de Oferta realizan segumiento quincenal solictando al equipo las alertas tempranas respecto a los procesos de negociación de programas y proyectos de cooperación"/>
    <hyperlink ref="AG21" r:id="rId2" display="L@s coordinadores de la Dirección de Oferta realizan segumiento quincenal solictando al equipo las alertas tempranas respecto a los procesos de negociación de programas y proyectos de cooperación"/>
  </hyperlinks>
  <printOptions horizontalCentered="1"/>
  <pageMargins left="0.78740157480314965" right="0.78740157480314965" top="0.78740157480314965" bottom="0.78740157480314965" header="0.31496062992125984" footer="0.31496062992125984"/>
  <pageSetup scale="15" orientation="portrait" r:id="rId3"/>
  <drawing r:id="rId4"/>
  <extLst>
    <ext xmlns:x14="http://schemas.microsoft.com/office/spreadsheetml/2009/9/main" uri="{CCE6A557-97BC-4b89-ADB6-D9C93CAAB3DF}">
      <x14:dataValidations xmlns:xm="http://schemas.microsoft.com/office/excel/2006/main" count="18">
        <x14:dataValidation type="list" allowBlank="1" showInputMessage="1" showErrorMessage="1">
          <x14:formula1>
            <xm:f>'Opciones Tratamiento'!$F$2:$F$5</xm:f>
          </x14:formula1>
          <xm:sqref>C5:C6</xm:sqref>
        </x14:dataValidation>
        <x14:dataValidation type="custom" allowBlank="1" showInputMessage="1" showErrorMessage="1" error="Recuerde que las acciones se generan bajo la medida de mitigar el riesgo">
          <x14:formula1>
            <xm:f>IF(OR(AF22='Opciones Tratamiento'!$B$2,AF22='Opciones Tratamiento'!$B$3,AF22='Opciones Tratamiento'!$B$4),ISBLANK(AF22),ISTEXT(AF22))</xm:f>
          </x14:formula1>
          <xm:sqref>AI22:AI25</xm:sqref>
        </x14:dataValidation>
        <x14:dataValidation type="custom" allowBlank="1" showInputMessage="1" showErrorMessage="1" error="Recuerde que las acciones se generan bajo la medida de mitigar el riesgo">
          <x14:formula1>
            <xm:f>IF(OR(AF26='Opciones Tratamiento'!$B$2,AF26='Opciones Tratamiento'!$B$3,AF26='Opciones Tratamiento'!$B$4),ISBLANK(AF26),ISTEXT(AF26))</xm:f>
          </x14:formula1>
          <xm:sqref>AH26:AI40</xm:sqref>
        </x14:dataValidation>
        <x14:dataValidation type="list" allowBlank="1" showInputMessage="1" showErrorMessage="1">
          <x14:formula1>
            <xm:f>'Opciones Tratamiento'!$B$2:$B$5</xm:f>
          </x14:formula1>
          <xm:sqref>AF39:AF44 AF5:AF37</xm:sqref>
        </x14:dataValidation>
        <x14:dataValidation type="list" allowBlank="1" showInputMessage="1" showErrorMessage="1">
          <x14:formula1>
            <xm:f>'Opciones Tratamiento'!$B$13:$B$19</xm:f>
          </x14:formula1>
          <xm:sqref>G27:G44 G5:G18 G21:G25</xm:sqref>
        </x14:dataValidation>
        <x14:dataValidation type="list" allowBlank="1" showInputMessage="1" showErrorMessage="1">
          <x14:formula1>
            <xm:f>'Z:\Descargas\[FORMATO DE RIESGO  CORRUPCION GESTION Y SEG INF (4).xlsx]Opciones Tratamiento'!#REF!</xm:f>
          </x14:formula1>
          <xm:sqref>AF38</xm:sqref>
        </x14:dataValidation>
        <x14:dataValidation type="custom" allowBlank="1" showInputMessage="1" showErrorMessage="1" error="Recuerde que las acciones se generan bajo la medida de mitigar el riesgo">
          <x14:formula1>
            <xm:f>IF(OR(AF22='Z:\Descargas\[FORMATO DE RIESGO  CORRUPCION GESTION Y SEG INF (1).xlsx]Opciones Tratamiento'!#REF!,AF22='Z:\Descargas\[FORMATO DE RIESGO  CORRUPCION GESTION Y SEG INF (1).xlsx]Opciones Tratamiento'!#REF!,AF22='Z:\Descargas\[FORMATO DE RIESGO  CORRUPCION GESTION Y SEG INF (1).xlsx]Opciones Tratamiento'!#REF!),ISBLANK(AF22),ISTEXT(AF22))</xm:f>
          </x14:formula1>
          <xm:sqref>AH22:AH25</xm:sqref>
        </x14:dataValidation>
        <x14:dataValidation type="list" allowBlank="1" showInputMessage="1" showErrorMessage="1">
          <x14:formula1>
            <xm:f>'C:\Users\dianabriceno\Downloads\[Mapa de riesgos institucional V1 31-01-2022 2 (1).xlsx]Opciones Tratamiento'!#REF!</xm:f>
          </x14:formula1>
          <xm:sqref>G26</xm:sqref>
        </x14:dataValidation>
        <x14:dataValidation type="list" allowBlank="1" showInputMessage="1" showErrorMessage="1">
          <x14:formula1>
            <xm:f>'C:\Users\dianabriceno\Downloads\[Mapa de Riesgos DCI (Noviembre 12 2021) (1).xlsx]Opciones Tratamiento'!#REF!</xm:f>
          </x14:formula1>
          <xm:sqref>G20</xm:sqref>
        </x14:dataValidation>
        <x14:dataValidation type="list" allowBlank="1" showInputMessage="1" showErrorMessage="1">
          <x14:formula1>
            <xm:f>'C:\Users\oscarortiz\Downloads\[FORMATO DE RIESGO  CORRUPCION GESTION Y SEG INF NV 12112021.xlsx]Opciones Tratamiento'!#REF!</xm:f>
          </x14:formula1>
          <xm:sqref>G19</xm:sqref>
        </x14:dataValidation>
        <x14:dataValidation type="list" allowBlank="1" showInputMessage="1" showErrorMessage="1">
          <x14:formula1>
            <xm:f>'Tabla Impacto.'!$E$209:$E$220</xm:f>
          </x14:formula1>
          <xm:sqref>L5:L44</xm:sqref>
        </x14:dataValidation>
        <x14:dataValidation type="list" allowBlank="1" showInputMessage="1" showErrorMessage="1">
          <x14:formula1>
            <xm:f>'Opciones Tratamiento'!$F$2:$F$4</xm:f>
          </x14:formula1>
          <xm:sqref>C7:C44</xm:sqref>
        </x14:dataValidation>
        <x14:dataValidation type="list" allowBlank="1" showInputMessage="1" showErrorMessage="1">
          <x14:formula1>
            <xm:f>'Tabla Valoración Controles'!$C$13:$C$14</xm:f>
          </x14:formula1>
          <xm:sqref>Y5:Y44</xm:sqref>
        </x14:dataValidation>
        <x14:dataValidation type="list" allowBlank="1" showInputMessage="1" showErrorMessage="1">
          <x14:formula1>
            <xm:f>'Tabla Valoración Controles'!$C$11:$C$12</xm:f>
          </x14:formula1>
          <xm:sqref>X5:X44</xm:sqref>
        </x14:dataValidation>
        <x14:dataValidation type="list" allowBlank="1" showInputMessage="1" showErrorMessage="1">
          <x14:formula1>
            <xm:f>'Tabla Valoración Controles'!$C$9:$C$10</xm:f>
          </x14:formula1>
          <xm:sqref>W5:W44</xm:sqref>
        </x14:dataValidation>
        <x14:dataValidation type="list" allowBlank="1" showInputMessage="1" showErrorMessage="1">
          <x14:formula1>
            <xm:f>'Opciones Tratamiento'!$B$9:$B$10</xm:f>
          </x14:formula1>
          <xm:sqref>AJ5:AK44</xm:sqref>
        </x14:dataValidation>
        <x14:dataValidation type="list" allowBlank="1" showInputMessage="1" showErrorMessage="1">
          <x14:formula1>
            <xm:f>'Tabla Valoración Controles'!$C$7:$C$8</xm:f>
          </x14:formula1>
          <xm:sqref>U5:U44</xm:sqref>
        </x14:dataValidation>
        <x14:dataValidation type="list" allowBlank="1" showInputMessage="1" showErrorMessage="1">
          <x14:formula1>
            <xm:f>'Tabla Valoración Controles'!$C$4:$C$6</xm:f>
          </x14:formula1>
          <xm:sqref>T5:T44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31"/>
  <sheetViews>
    <sheetView zoomScaleNormal="100" workbookViewId="0">
      <selection activeCell="B13" sqref="B13"/>
    </sheetView>
  </sheetViews>
  <sheetFormatPr baseColWidth="10" defaultRowHeight="15" x14ac:dyDescent="0.25"/>
  <cols>
    <col min="1" max="1" width="51.7109375" style="96" customWidth="1"/>
    <col min="2" max="2" width="51.28515625" style="96" customWidth="1"/>
    <col min="3" max="3" width="52.28515625" style="96" customWidth="1"/>
    <col min="4" max="4" width="10.5703125" style="96" customWidth="1"/>
    <col min="5" max="16384" width="11.42578125" style="96"/>
  </cols>
  <sheetData>
    <row r="1" spans="1:20" ht="50.25" customHeight="1" x14ac:dyDescent="0.25">
      <c r="A1" s="167"/>
      <c r="B1" s="150" t="s">
        <v>272</v>
      </c>
      <c r="C1" s="150" t="s">
        <v>272</v>
      </c>
    </row>
    <row r="2" spans="1:20" ht="15.75" x14ac:dyDescent="0.25">
      <c r="A2" s="159" t="s">
        <v>58</v>
      </c>
      <c r="B2" s="159" t="s">
        <v>58</v>
      </c>
      <c r="C2" s="159" t="s">
        <v>58</v>
      </c>
      <c r="D2" s="84"/>
      <c r="E2" s="84"/>
      <c r="F2" s="84"/>
      <c r="G2" s="84"/>
      <c r="H2" s="84"/>
      <c r="I2" s="84"/>
      <c r="J2" s="84"/>
      <c r="K2" s="84"/>
      <c r="L2" s="84"/>
      <c r="M2" s="84"/>
      <c r="N2" s="84"/>
      <c r="O2" s="84"/>
      <c r="P2" s="84"/>
      <c r="Q2" s="84"/>
      <c r="R2" s="84"/>
      <c r="S2" s="84"/>
      <c r="T2" s="84"/>
    </row>
    <row r="3" spans="1:20" ht="15.75" x14ac:dyDescent="0.25">
      <c r="A3" s="144" t="s">
        <v>381</v>
      </c>
      <c r="B3" s="160" t="s">
        <v>379</v>
      </c>
      <c r="C3" s="160" t="s">
        <v>380</v>
      </c>
      <c r="D3" s="84"/>
      <c r="E3" s="84"/>
      <c r="F3" s="84"/>
      <c r="G3" s="84"/>
      <c r="H3" s="84"/>
      <c r="I3" s="84"/>
      <c r="J3" s="84"/>
      <c r="K3" s="84"/>
      <c r="L3" s="84"/>
      <c r="M3" s="84"/>
      <c r="N3" s="84"/>
      <c r="O3" s="84"/>
      <c r="P3" s="84"/>
      <c r="Q3" s="84"/>
      <c r="R3" s="84"/>
      <c r="S3" s="84"/>
      <c r="T3" s="84"/>
    </row>
    <row r="4" spans="1:20" ht="34.5" customHeight="1" x14ac:dyDescent="0.25">
      <c r="A4" s="161" t="s">
        <v>86</v>
      </c>
      <c r="B4" s="162" t="s">
        <v>140</v>
      </c>
      <c r="C4" s="162" t="s">
        <v>82</v>
      </c>
      <c r="D4" s="84"/>
      <c r="E4" s="84"/>
      <c r="F4" s="84"/>
      <c r="G4" s="84"/>
      <c r="H4" s="84"/>
      <c r="I4" s="84"/>
      <c r="J4" s="84"/>
      <c r="K4" s="84"/>
      <c r="L4" s="84"/>
      <c r="M4" s="84"/>
      <c r="N4" s="84"/>
      <c r="O4" s="84"/>
      <c r="P4" s="84"/>
      <c r="Q4" s="84"/>
      <c r="R4" s="84"/>
      <c r="S4" s="84"/>
      <c r="T4" s="84"/>
    </row>
    <row r="5" spans="1:20" ht="64.5" customHeight="1" x14ac:dyDescent="0.25">
      <c r="A5" s="163" t="s">
        <v>308</v>
      </c>
      <c r="B5" s="162" t="s">
        <v>78</v>
      </c>
      <c r="C5" s="162" t="s">
        <v>83</v>
      </c>
      <c r="D5" s="84"/>
      <c r="E5" s="84"/>
      <c r="F5" s="84"/>
      <c r="G5" s="84"/>
      <c r="H5" s="84"/>
      <c r="I5" s="84"/>
      <c r="J5" s="84"/>
      <c r="K5" s="84"/>
      <c r="L5" s="84"/>
      <c r="M5" s="84"/>
      <c r="N5" s="84"/>
      <c r="O5" s="84"/>
      <c r="P5" s="84"/>
      <c r="Q5" s="84"/>
      <c r="R5" s="84"/>
      <c r="S5" s="84"/>
      <c r="T5" s="84"/>
    </row>
    <row r="6" spans="1:20" ht="48.75" customHeight="1" x14ac:dyDescent="0.25">
      <c r="A6" s="164" t="s">
        <v>55</v>
      </c>
      <c r="B6" s="162" t="s">
        <v>79</v>
      </c>
      <c r="C6" s="162" t="s">
        <v>85</v>
      </c>
      <c r="D6" s="84"/>
      <c r="E6" s="84"/>
      <c r="F6" s="84"/>
      <c r="G6" s="84"/>
      <c r="H6" s="84"/>
      <c r="I6" s="84"/>
      <c r="J6" s="84"/>
      <c r="K6" s="84"/>
      <c r="L6" s="84"/>
      <c r="M6" s="84"/>
      <c r="N6" s="84"/>
      <c r="O6" s="84"/>
      <c r="P6" s="84"/>
      <c r="Q6" s="84"/>
      <c r="R6" s="84"/>
      <c r="S6" s="84"/>
      <c r="T6" s="84"/>
    </row>
    <row r="7" spans="1:20" ht="50.25" customHeight="1" x14ac:dyDescent="0.25">
      <c r="A7" s="165" t="s">
        <v>56</v>
      </c>
      <c r="B7" s="162" t="s">
        <v>80</v>
      </c>
      <c r="C7" s="162" t="s">
        <v>84</v>
      </c>
      <c r="D7" s="84"/>
      <c r="E7" s="84"/>
      <c r="F7" s="84"/>
      <c r="G7" s="84"/>
      <c r="H7" s="84"/>
      <c r="I7" s="84"/>
      <c r="J7" s="84"/>
      <c r="K7" s="84"/>
      <c r="L7" s="84"/>
      <c r="M7" s="84"/>
      <c r="N7" s="84"/>
      <c r="O7" s="84"/>
      <c r="P7" s="84"/>
      <c r="Q7" s="84"/>
      <c r="R7" s="84"/>
      <c r="S7" s="84"/>
      <c r="T7" s="84"/>
    </row>
    <row r="8" spans="1:20" ht="36" customHeight="1" x14ac:dyDescent="0.25">
      <c r="A8" s="166" t="s">
        <v>57</v>
      </c>
      <c r="B8" s="162" t="s">
        <v>81</v>
      </c>
      <c r="C8" s="162" t="s">
        <v>103</v>
      </c>
      <c r="D8" s="84"/>
      <c r="E8" s="84"/>
      <c r="F8" s="84"/>
      <c r="G8" s="84"/>
      <c r="H8" s="84"/>
      <c r="I8" s="84"/>
      <c r="J8" s="84"/>
      <c r="K8" s="84"/>
      <c r="L8" s="84"/>
      <c r="M8" s="84"/>
      <c r="N8" s="84"/>
      <c r="O8" s="84"/>
      <c r="P8" s="84"/>
      <c r="Q8" s="84"/>
      <c r="R8" s="84"/>
      <c r="S8" s="84"/>
      <c r="T8" s="84"/>
    </row>
    <row r="9" spans="1:20" ht="109.5" customHeight="1" x14ac:dyDescent="0.25">
      <c r="A9" s="191" t="s">
        <v>263</v>
      </c>
      <c r="B9" s="191" t="s">
        <v>263</v>
      </c>
      <c r="C9" s="191" t="s">
        <v>263</v>
      </c>
      <c r="D9" s="84"/>
      <c r="E9" s="84"/>
      <c r="F9" s="84"/>
      <c r="G9" s="84"/>
      <c r="H9" s="84"/>
      <c r="I9" s="84"/>
      <c r="J9" s="84"/>
      <c r="K9" s="84"/>
      <c r="L9" s="84"/>
      <c r="M9" s="84"/>
      <c r="N9" s="84"/>
      <c r="O9" s="84"/>
      <c r="P9" s="84"/>
      <c r="Q9" s="84"/>
      <c r="R9" s="84"/>
      <c r="S9" s="84"/>
      <c r="T9" s="84"/>
    </row>
    <row r="10" spans="1:20" ht="33" customHeight="1" x14ac:dyDescent="0.25">
      <c r="A10" s="190" t="s">
        <v>387</v>
      </c>
      <c r="B10" s="190" t="s">
        <v>384</v>
      </c>
      <c r="C10" s="192" t="s">
        <v>385</v>
      </c>
      <c r="D10" s="84"/>
      <c r="E10" s="84"/>
      <c r="F10" s="84"/>
      <c r="G10" s="84"/>
      <c r="H10" s="84"/>
      <c r="I10" s="84"/>
      <c r="J10" s="84"/>
      <c r="K10" s="84"/>
      <c r="L10" s="84"/>
      <c r="M10" s="84"/>
      <c r="N10" s="84"/>
      <c r="O10" s="84"/>
      <c r="P10" s="84"/>
      <c r="Q10" s="84"/>
      <c r="R10" s="84"/>
      <c r="S10" s="84"/>
      <c r="T10" s="84"/>
    </row>
    <row r="11" spans="1:20" ht="33" customHeight="1" x14ac:dyDescent="0.25">
      <c r="A11" s="190" t="s">
        <v>386</v>
      </c>
      <c r="B11" s="190" t="s">
        <v>386</v>
      </c>
      <c r="C11" s="190" t="s">
        <v>386</v>
      </c>
      <c r="D11" s="84"/>
      <c r="E11" s="84"/>
      <c r="F11" s="84"/>
      <c r="G11" s="84"/>
      <c r="H11" s="84"/>
      <c r="I11" s="84"/>
      <c r="J11" s="84"/>
      <c r="K11" s="84"/>
      <c r="L11" s="84"/>
      <c r="M11" s="84"/>
      <c r="N11" s="84"/>
      <c r="O11" s="84"/>
      <c r="P11" s="84"/>
      <c r="Q11" s="84"/>
      <c r="R11" s="84"/>
      <c r="S11" s="84"/>
      <c r="T11" s="84"/>
    </row>
    <row r="12" spans="1:20" x14ac:dyDescent="0.25">
      <c r="A12" s="168"/>
      <c r="B12" s="168" t="s">
        <v>131</v>
      </c>
      <c r="C12" s="168" t="s">
        <v>137</v>
      </c>
      <c r="D12" s="84"/>
      <c r="E12" s="84"/>
      <c r="F12" s="84"/>
      <c r="G12" s="84"/>
      <c r="H12" s="84"/>
      <c r="I12" s="84"/>
      <c r="J12" s="84"/>
      <c r="K12" s="84"/>
      <c r="L12" s="84"/>
      <c r="M12" s="84"/>
      <c r="N12" s="84"/>
      <c r="O12" s="84"/>
      <c r="P12" s="84"/>
      <c r="Q12" s="84"/>
      <c r="R12" s="84"/>
      <c r="S12" s="84"/>
      <c r="T12" s="84"/>
    </row>
    <row r="13" spans="1:20" x14ac:dyDescent="0.25">
      <c r="A13" s="168"/>
      <c r="B13" s="168" t="s">
        <v>133</v>
      </c>
      <c r="C13" s="168" t="s">
        <v>138</v>
      </c>
      <c r="D13" s="84"/>
      <c r="E13" s="84"/>
      <c r="F13" s="84"/>
      <c r="G13" s="84"/>
      <c r="H13" s="84"/>
      <c r="I13" s="84"/>
      <c r="J13" s="84"/>
      <c r="K13" s="84"/>
      <c r="L13" s="84"/>
      <c r="M13" s="84"/>
      <c r="N13" s="84"/>
      <c r="O13" s="84"/>
      <c r="P13" s="84"/>
      <c r="Q13" s="84"/>
      <c r="R13" s="84"/>
      <c r="S13" s="84"/>
      <c r="T13" s="84"/>
    </row>
    <row r="14" spans="1:20" x14ac:dyDescent="0.25">
      <c r="A14" s="168"/>
      <c r="B14" s="168" t="s">
        <v>134</v>
      </c>
      <c r="C14" s="168" t="s">
        <v>139</v>
      </c>
      <c r="D14" s="84"/>
      <c r="E14" s="84"/>
      <c r="F14" s="84"/>
      <c r="G14" s="84"/>
      <c r="H14" s="84"/>
      <c r="I14" s="84"/>
      <c r="J14" s="84"/>
      <c r="K14" s="84"/>
      <c r="L14" s="84"/>
      <c r="M14" s="84"/>
      <c r="N14" s="84"/>
      <c r="O14" s="84"/>
      <c r="P14" s="84"/>
      <c r="Q14" s="84"/>
      <c r="R14" s="84"/>
      <c r="S14" s="84"/>
      <c r="T14" s="84"/>
    </row>
    <row r="15" spans="1:20" x14ac:dyDescent="0.25">
      <c r="A15" s="168"/>
      <c r="B15" s="168"/>
      <c r="C15" s="168"/>
      <c r="D15" s="84"/>
      <c r="E15" s="84"/>
      <c r="F15" s="84"/>
      <c r="G15" s="84"/>
      <c r="H15" s="84"/>
      <c r="I15" s="84"/>
      <c r="J15" s="84"/>
      <c r="K15" s="84"/>
      <c r="L15" s="84"/>
      <c r="M15" s="84"/>
      <c r="N15" s="84"/>
    </row>
    <row r="16" spans="1:20" x14ac:dyDescent="0.25">
      <c r="A16" s="168"/>
      <c r="B16" s="168"/>
      <c r="C16" s="168"/>
      <c r="D16" s="84"/>
      <c r="E16" s="84"/>
      <c r="F16" s="84"/>
      <c r="G16" s="84"/>
      <c r="H16" s="84"/>
      <c r="I16" s="84"/>
      <c r="J16" s="84"/>
      <c r="K16" s="84"/>
      <c r="L16" s="84"/>
      <c r="M16" s="84"/>
      <c r="N16" s="84"/>
    </row>
    <row r="17" spans="1:14" x14ac:dyDescent="0.25">
      <c r="A17" s="170"/>
      <c r="B17" s="170"/>
      <c r="C17" s="170"/>
      <c r="D17" s="84"/>
      <c r="E17" s="84"/>
      <c r="F17" s="84"/>
      <c r="G17" s="84"/>
      <c r="H17" s="84"/>
      <c r="I17" s="84"/>
      <c r="J17" s="84"/>
      <c r="K17" s="84"/>
      <c r="L17" s="84"/>
      <c r="M17" s="84"/>
      <c r="N17" s="84"/>
    </row>
    <row r="18" spans="1:14" x14ac:dyDescent="0.25">
      <c r="A18" s="170"/>
      <c r="B18" s="170"/>
      <c r="C18" s="170"/>
      <c r="D18" s="84"/>
      <c r="E18" s="84"/>
      <c r="F18" s="84"/>
      <c r="G18" s="84"/>
      <c r="H18" s="84"/>
      <c r="I18" s="84"/>
      <c r="J18" s="84"/>
      <c r="K18" s="84"/>
      <c r="L18" s="84"/>
      <c r="M18" s="84"/>
      <c r="N18" s="84"/>
    </row>
    <row r="19" spans="1:14" x14ac:dyDescent="0.25">
      <c r="A19" s="170"/>
      <c r="B19" s="170"/>
      <c r="C19" s="170"/>
      <c r="D19" s="84"/>
      <c r="E19" s="84"/>
      <c r="F19" s="84"/>
      <c r="G19" s="84"/>
      <c r="H19" s="84"/>
      <c r="I19" s="84"/>
      <c r="J19" s="84"/>
      <c r="K19" s="84"/>
      <c r="L19" s="84"/>
      <c r="M19" s="84"/>
      <c r="N19" s="84"/>
    </row>
    <row r="20" spans="1:14" x14ac:dyDescent="0.25">
      <c r="A20" s="170"/>
      <c r="B20" s="170"/>
      <c r="C20" s="170"/>
      <c r="D20" s="84"/>
      <c r="E20" s="84"/>
      <c r="F20" s="84"/>
      <c r="G20" s="84"/>
      <c r="H20" s="84"/>
      <c r="I20" s="84"/>
      <c r="J20" s="84"/>
      <c r="K20" s="84"/>
      <c r="L20" s="84"/>
      <c r="M20" s="84"/>
      <c r="N20" s="84"/>
    </row>
    <row r="21" spans="1:14" x14ac:dyDescent="0.25">
      <c r="A21" s="168"/>
      <c r="B21" s="169"/>
      <c r="C21" s="169"/>
      <c r="D21" s="84"/>
      <c r="E21" s="84"/>
      <c r="F21" s="84"/>
      <c r="G21" s="84"/>
      <c r="H21" s="84"/>
      <c r="I21" s="84"/>
      <c r="J21" s="84"/>
      <c r="K21" s="84"/>
      <c r="L21" s="84"/>
      <c r="M21" s="84"/>
      <c r="N21" s="84"/>
    </row>
    <row r="22" spans="1:14" x14ac:dyDescent="0.25">
      <c r="A22" s="168"/>
      <c r="B22" s="169"/>
      <c r="C22" s="169"/>
      <c r="D22" s="84"/>
      <c r="E22" s="84"/>
      <c r="F22" s="84"/>
      <c r="G22" s="84"/>
      <c r="H22" s="84"/>
      <c r="I22" s="84"/>
      <c r="J22" s="84"/>
      <c r="K22" s="84"/>
      <c r="L22" s="84"/>
      <c r="M22" s="84"/>
      <c r="N22" s="84"/>
    </row>
    <row r="23" spans="1:14" x14ac:dyDescent="0.25">
      <c r="A23" s="168"/>
      <c r="B23" s="169"/>
      <c r="C23" s="169"/>
      <c r="D23" s="84"/>
      <c r="E23" s="84"/>
      <c r="F23" s="84"/>
      <c r="G23" s="84"/>
      <c r="H23" s="84"/>
      <c r="I23" s="84"/>
      <c r="J23" s="84"/>
      <c r="K23" s="84"/>
      <c r="L23" s="84"/>
      <c r="M23" s="84"/>
      <c r="N23" s="84"/>
    </row>
    <row r="24" spans="1:14" x14ac:dyDescent="0.25">
      <c r="A24" s="168"/>
      <c r="B24" s="169"/>
      <c r="C24" s="169"/>
      <c r="D24" s="84"/>
      <c r="E24" s="84"/>
      <c r="F24" s="84"/>
      <c r="G24" s="84"/>
      <c r="H24" s="84"/>
      <c r="I24" s="84"/>
      <c r="J24" s="84"/>
      <c r="K24" s="84"/>
      <c r="L24" s="84"/>
      <c r="M24" s="84"/>
      <c r="N24" s="84"/>
    </row>
    <row r="25" spans="1:14" x14ac:dyDescent="0.25">
      <c r="A25" s="168"/>
      <c r="B25" s="169"/>
      <c r="C25" s="169"/>
      <c r="D25" s="84"/>
      <c r="E25" s="84"/>
      <c r="F25" s="84"/>
      <c r="G25" s="84"/>
      <c r="H25" s="84"/>
      <c r="I25" s="84"/>
      <c r="J25" s="84"/>
      <c r="K25" s="84"/>
      <c r="L25" s="84"/>
      <c r="M25" s="84"/>
      <c r="N25" s="84"/>
    </row>
    <row r="26" spans="1:14" x14ac:dyDescent="0.25">
      <c r="A26" s="168"/>
      <c r="B26" s="169"/>
      <c r="C26" s="169"/>
      <c r="D26" s="84"/>
      <c r="E26" s="84"/>
      <c r="F26" s="84"/>
      <c r="G26" s="84"/>
      <c r="H26" s="84"/>
      <c r="I26" s="84"/>
      <c r="J26" s="84"/>
      <c r="K26" s="84"/>
      <c r="L26" s="84"/>
      <c r="M26" s="84"/>
      <c r="N26" s="84"/>
    </row>
    <row r="27" spans="1:14" x14ac:dyDescent="0.25">
      <c r="A27" s="168"/>
      <c r="B27" s="169"/>
      <c r="C27" s="169"/>
      <c r="D27" s="84"/>
      <c r="E27" s="84"/>
      <c r="F27" s="84"/>
      <c r="G27" s="84"/>
      <c r="H27" s="84"/>
      <c r="I27" s="84"/>
      <c r="J27" s="84"/>
      <c r="K27" s="84"/>
      <c r="L27" s="84"/>
      <c r="M27" s="84"/>
      <c r="N27" s="84"/>
    </row>
    <row r="28" spans="1:14" x14ac:dyDescent="0.25">
      <c r="A28" s="168"/>
      <c r="B28" s="169"/>
      <c r="C28" s="169"/>
      <c r="D28" s="84"/>
      <c r="E28" s="84"/>
      <c r="F28" s="84"/>
      <c r="G28" s="84"/>
      <c r="H28" s="84"/>
      <c r="I28" s="84"/>
      <c r="J28" s="84"/>
      <c r="K28" s="84"/>
      <c r="L28" s="84"/>
      <c r="M28" s="84"/>
      <c r="N28" s="84"/>
    </row>
    <row r="29" spans="1:14" x14ac:dyDescent="0.25">
      <c r="A29" s="168"/>
      <c r="B29" s="169"/>
      <c r="C29" s="169"/>
      <c r="D29" s="84"/>
      <c r="E29" s="84"/>
      <c r="F29" s="84"/>
      <c r="G29" s="84"/>
      <c r="H29" s="84"/>
      <c r="I29" s="84"/>
      <c r="J29" s="84"/>
      <c r="K29" s="84"/>
      <c r="L29" s="84"/>
      <c r="M29" s="84"/>
      <c r="N29" s="84"/>
    </row>
    <row r="30" spans="1:14" x14ac:dyDescent="0.25">
      <c r="A30" s="168"/>
      <c r="B30" s="169"/>
      <c r="C30" s="169"/>
      <c r="D30" s="84"/>
      <c r="E30" s="84"/>
      <c r="F30" s="84"/>
      <c r="G30" s="84"/>
      <c r="H30" s="84"/>
      <c r="I30" s="84"/>
      <c r="J30" s="84"/>
      <c r="K30" s="84"/>
      <c r="L30" s="84"/>
      <c r="M30" s="84"/>
      <c r="N30" s="84"/>
    </row>
    <row r="31" spans="1:14" x14ac:dyDescent="0.25">
      <c r="A31" s="168"/>
      <c r="B31" s="169"/>
      <c r="C31" s="169"/>
      <c r="D31" s="84"/>
      <c r="E31" s="84"/>
      <c r="F31" s="84"/>
      <c r="G31" s="84"/>
      <c r="H31" s="84"/>
      <c r="I31" s="84"/>
      <c r="J31" s="84"/>
      <c r="K31" s="84"/>
      <c r="L31" s="84"/>
      <c r="M31" s="84"/>
      <c r="N31" s="84"/>
    </row>
    <row r="32" spans="1:14" x14ac:dyDescent="0.25">
      <c r="A32" s="168"/>
      <c r="B32" s="169"/>
      <c r="C32" s="169"/>
      <c r="D32" s="84"/>
      <c r="E32" s="84"/>
      <c r="F32" s="84"/>
      <c r="G32" s="84"/>
      <c r="H32" s="84"/>
      <c r="I32" s="84"/>
      <c r="J32" s="84"/>
      <c r="K32" s="84"/>
      <c r="L32" s="84"/>
      <c r="M32" s="84"/>
      <c r="N32" s="84"/>
    </row>
    <row r="33" spans="1:14" x14ac:dyDescent="0.25">
      <c r="A33" s="168"/>
      <c r="B33" s="169"/>
      <c r="C33" s="169"/>
      <c r="D33" s="84"/>
      <c r="E33" s="84"/>
      <c r="F33" s="84"/>
      <c r="G33" s="84"/>
      <c r="H33" s="84"/>
      <c r="I33" s="84"/>
      <c r="J33" s="84"/>
      <c r="K33" s="84"/>
      <c r="L33" s="84"/>
      <c r="M33" s="84"/>
      <c r="N33" s="84"/>
    </row>
    <row r="34" spans="1:14" x14ac:dyDescent="0.25">
      <c r="A34" s="168"/>
      <c r="B34" s="169"/>
      <c r="C34" s="169"/>
      <c r="D34" s="84"/>
      <c r="E34" s="84"/>
      <c r="F34" s="84"/>
      <c r="G34" s="84"/>
      <c r="H34" s="84"/>
      <c r="I34" s="84"/>
      <c r="J34" s="84"/>
      <c r="K34" s="84"/>
      <c r="L34" s="84"/>
      <c r="M34" s="84"/>
      <c r="N34" s="84"/>
    </row>
    <row r="35" spans="1:14" x14ac:dyDescent="0.25">
      <c r="A35" s="168"/>
      <c r="B35" s="169"/>
      <c r="C35" s="169"/>
      <c r="D35" s="84"/>
      <c r="E35" s="84"/>
      <c r="F35" s="84"/>
      <c r="G35" s="84"/>
      <c r="H35" s="84"/>
      <c r="I35" s="84"/>
      <c r="J35" s="84"/>
      <c r="K35" s="84"/>
      <c r="L35" s="84"/>
      <c r="M35" s="84"/>
      <c r="N35" s="84"/>
    </row>
    <row r="36" spans="1:14" x14ac:dyDescent="0.25">
      <c r="A36" s="168"/>
      <c r="B36" s="169"/>
      <c r="C36" s="169"/>
      <c r="D36" s="84"/>
      <c r="E36" s="84"/>
      <c r="F36" s="84"/>
      <c r="G36" s="84"/>
      <c r="H36" s="84"/>
      <c r="I36" s="84"/>
      <c r="J36" s="84"/>
      <c r="K36" s="84"/>
      <c r="L36" s="84"/>
      <c r="M36" s="84"/>
      <c r="N36" s="84"/>
    </row>
    <row r="37" spans="1:14" x14ac:dyDescent="0.25">
      <c r="A37" s="168"/>
      <c r="B37" s="169"/>
      <c r="C37" s="169"/>
      <c r="D37" s="84"/>
      <c r="E37" s="84"/>
      <c r="F37" s="84"/>
      <c r="G37" s="84"/>
      <c r="H37" s="84"/>
      <c r="I37" s="84"/>
      <c r="J37" s="84"/>
      <c r="K37" s="84"/>
      <c r="L37" s="84"/>
      <c r="M37" s="84"/>
      <c r="N37" s="84"/>
    </row>
    <row r="38" spans="1:14" x14ac:dyDescent="0.25">
      <c r="A38" s="168"/>
      <c r="B38" s="169"/>
      <c r="C38" s="169"/>
      <c r="D38" s="84"/>
      <c r="E38" s="84"/>
      <c r="F38" s="84"/>
      <c r="G38" s="84"/>
      <c r="H38" s="84"/>
      <c r="I38" s="84"/>
      <c r="J38" s="84"/>
      <c r="K38" s="84"/>
      <c r="L38" s="84"/>
      <c r="M38" s="84"/>
      <c r="N38" s="84"/>
    </row>
    <row r="39" spans="1:14" x14ac:dyDescent="0.25">
      <c r="A39" s="168"/>
      <c r="B39" s="169"/>
      <c r="C39" s="169"/>
      <c r="D39" s="84"/>
      <c r="E39" s="84"/>
      <c r="F39" s="84"/>
      <c r="G39" s="84"/>
      <c r="H39" s="84"/>
      <c r="I39" s="84"/>
      <c r="J39" s="84"/>
      <c r="K39" s="84"/>
      <c r="L39" s="84"/>
      <c r="M39" s="84"/>
      <c r="N39" s="84"/>
    </row>
    <row r="40" spans="1:14" x14ac:dyDescent="0.25">
      <c r="A40" s="168"/>
      <c r="B40" s="169"/>
      <c r="C40" s="169"/>
      <c r="D40" s="84"/>
      <c r="E40" s="84"/>
      <c r="F40" s="84"/>
      <c r="G40" s="84"/>
      <c r="H40" s="84"/>
      <c r="I40" s="84"/>
      <c r="J40" s="84"/>
      <c r="K40" s="84"/>
      <c r="L40" s="84"/>
      <c r="M40" s="84"/>
      <c r="N40" s="84"/>
    </row>
    <row r="41" spans="1:14" x14ac:dyDescent="0.25">
      <c r="A41" s="168"/>
      <c r="B41" s="169"/>
      <c r="C41" s="169"/>
      <c r="D41" s="84"/>
      <c r="E41" s="84"/>
      <c r="F41" s="84"/>
      <c r="G41" s="84"/>
      <c r="H41" s="84"/>
      <c r="I41" s="84"/>
      <c r="J41" s="84"/>
      <c r="K41" s="84"/>
      <c r="L41" s="84"/>
      <c r="M41" s="84"/>
      <c r="N41" s="84"/>
    </row>
    <row r="42" spans="1:14" x14ac:dyDescent="0.25">
      <c r="A42" s="168"/>
      <c r="B42" s="169"/>
      <c r="C42" s="169"/>
      <c r="D42" s="84"/>
      <c r="E42" s="84"/>
      <c r="F42" s="84"/>
      <c r="G42" s="84"/>
      <c r="H42" s="84"/>
      <c r="I42" s="84"/>
      <c r="J42" s="84"/>
      <c r="K42" s="84"/>
      <c r="L42" s="84"/>
      <c r="M42" s="84"/>
      <c r="N42" s="84"/>
    </row>
    <row r="43" spans="1:14" x14ac:dyDescent="0.25">
      <c r="A43" s="168"/>
      <c r="B43" s="169"/>
      <c r="C43" s="169"/>
      <c r="D43" s="84"/>
      <c r="E43" s="84"/>
      <c r="F43" s="84"/>
      <c r="G43" s="84"/>
      <c r="H43" s="84"/>
      <c r="I43" s="84"/>
      <c r="J43" s="84"/>
      <c r="K43" s="84"/>
      <c r="L43" s="84"/>
      <c r="M43" s="84"/>
      <c r="N43" s="84"/>
    </row>
    <row r="44" spans="1:14" x14ac:dyDescent="0.25">
      <c r="A44" s="168"/>
      <c r="B44" s="169"/>
      <c r="C44" s="169"/>
      <c r="D44" s="84"/>
      <c r="E44" s="84"/>
      <c r="F44" s="84"/>
      <c r="G44" s="84"/>
      <c r="H44" s="84"/>
      <c r="I44" s="84"/>
      <c r="J44" s="84"/>
      <c r="K44" s="84"/>
      <c r="L44" s="84"/>
      <c r="M44" s="84"/>
      <c r="N44" s="84"/>
    </row>
    <row r="45" spans="1:14" x14ac:dyDescent="0.25">
      <c r="A45" s="168"/>
      <c r="B45" s="169"/>
      <c r="C45" s="169"/>
      <c r="D45" s="84"/>
      <c r="E45" s="84"/>
      <c r="F45" s="84"/>
      <c r="G45" s="84"/>
      <c r="H45" s="84"/>
      <c r="I45" s="84"/>
      <c r="J45" s="84"/>
      <c r="K45" s="84"/>
      <c r="L45" s="84"/>
      <c r="M45" s="84"/>
      <c r="N45" s="84"/>
    </row>
    <row r="46" spans="1:14" x14ac:dyDescent="0.25">
      <c r="A46" s="168"/>
      <c r="B46" s="169"/>
      <c r="C46" s="169"/>
      <c r="D46" s="84"/>
      <c r="E46" s="84"/>
      <c r="F46" s="84"/>
      <c r="G46" s="84"/>
      <c r="H46" s="84"/>
      <c r="I46" s="84"/>
      <c r="J46" s="84"/>
      <c r="K46" s="84"/>
      <c r="L46" s="84"/>
      <c r="M46" s="84"/>
      <c r="N46" s="84"/>
    </row>
    <row r="47" spans="1:14" x14ac:dyDescent="0.25">
      <c r="A47" s="168"/>
      <c r="B47" s="169"/>
      <c r="C47" s="169"/>
      <c r="D47" s="84"/>
      <c r="E47" s="84"/>
      <c r="F47" s="84"/>
      <c r="G47" s="84"/>
      <c r="H47" s="84"/>
      <c r="I47" s="84"/>
      <c r="J47" s="84"/>
      <c r="K47" s="84"/>
      <c r="L47" s="84"/>
      <c r="M47" s="84"/>
      <c r="N47" s="84"/>
    </row>
    <row r="48" spans="1:14" x14ac:dyDescent="0.25">
      <c r="A48" s="168"/>
      <c r="B48" s="169"/>
      <c r="C48" s="169"/>
      <c r="D48" s="84"/>
      <c r="E48" s="84"/>
      <c r="F48" s="84"/>
      <c r="G48" s="84"/>
      <c r="H48" s="84"/>
      <c r="I48" s="84"/>
      <c r="J48" s="84"/>
      <c r="K48" s="84"/>
      <c r="L48" s="84"/>
      <c r="M48" s="84"/>
      <c r="N48" s="84"/>
    </row>
    <row r="49" spans="1:14" x14ac:dyDescent="0.25">
      <c r="A49" s="168"/>
      <c r="B49" s="169"/>
      <c r="C49" s="169"/>
      <c r="D49" s="84"/>
      <c r="E49" s="84"/>
      <c r="F49" s="84"/>
      <c r="G49" s="84"/>
      <c r="H49" s="84"/>
      <c r="I49" s="84"/>
      <c r="J49" s="84"/>
      <c r="K49" s="84"/>
      <c r="L49" s="84"/>
      <c r="M49" s="84"/>
      <c r="N49" s="84"/>
    </row>
    <row r="50" spans="1:14" x14ac:dyDescent="0.25">
      <c r="A50" s="168"/>
      <c r="B50" s="169"/>
      <c r="C50" s="169"/>
      <c r="D50" s="84"/>
      <c r="E50" s="84"/>
      <c r="F50" s="84"/>
      <c r="G50" s="84"/>
      <c r="H50" s="84"/>
      <c r="I50" s="84"/>
      <c r="J50" s="84"/>
      <c r="K50" s="84"/>
      <c r="L50" s="84"/>
      <c r="M50" s="84"/>
      <c r="N50" s="84"/>
    </row>
    <row r="51" spans="1:14" x14ac:dyDescent="0.25">
      <c r="A51" s="171"/>
      <c r="B51" s="172"/>
      <c r="C51" s="172"/>
    </row>
    <row r="52" spans="1:14" x14ac:dyDescent="0.25">
      <c r="A52" s="171"/>
      <c r="B52" s="172"/>
      <c r="C52" s="172"/>
    </row>
    <row r="53" spans="1:14" x14ac:dyDescent="0.25">
      <c r="A53" s="171"/>
      <c r="B53" s="172"/>
      <c r="C53" s="172"/>
    </row>
    <row r="54" spans="1:14" x14ac:dyDescent="0.25">
      <c r="A54" s="171"/>
      <c r="B54" s="172"/>
      <c r="C54" s="172"/>
    </row>
    <row r="55" spans="1:14" x14ac:dyDescent="0.25">
      <c r="A55" s="171"/>
      <c r="B55" s="172"/>
      <c r="C55" s="172"/>
    </row>
    <row r="56" spans="1:14" x14ac:dyDescent="0.25">
      <c r="A56" s="171"/>
      <c r="B56" s="172"/>
      <c r="C56" s="172"/>
    </row>
    <row r="57" spans="1:14" x14ac:dyDescent="0.25">
      <c r="A57" s="171"/>
      <c r="B57" s="172"/>
      <c r="C57" s="172"/>
    </row>
    <row r="58" spans="1:14" x14ac:dyDescent="0.25">
      <c r="A58" s="171"/>
      <c r="B58" s="172"/>
      <c r="C58" s="172"/>
    </row>
    <row r="59" spans="1:14" x14ac:dyDescent="0.25">
      <c r="A59" s="171"/>
      <c r="B59" s="172"/>
      <c r="C59" s="172"/>
    </row>
    <row r="60" spans="1:14" x14ac:dyDescent="0.25">
      <c r="A60" s="171"/>
      <c r="B60" s="172"/>
      <c r="C60" s="172"/>
    </row>
    <row r="61" spans="1:14" x14ac:dyDescent="0.25">
      <c r="A61" s="171"/>
      <c r="B61" s="172"/>
      <c r="C61" s="172"/>
    </row>
    <row r="62" spans="1:14" x14ac:dyDescent="0.25">
      <c r="A62" s="171"/>
      <c r="B62" s="172"/>
      <c r="C62" s="172"/>
    </row>
    <row r="63" spans="1:14" x14ac:dyDescent="0.25">
      <c r="A63" s="171"/>
      <c r="B63" s="172"/>
      <c r="C63" s="172"/>
    </row>
    <row r="64" spans="1:14" x14ac:dyDescent="0.25">
      <c r="A64" s="171"/>
      <c r="B64" s="172"/>
      <c r="C64" s="172"/>
    </row>
    <row r="65" spans="1:3" x14ac:dyDescent="0.25">
      <c r="A65" s="171"/>
      <c r="B65" s="172"/>
      <c r="C65" s="172"/>
    </row>
    <row r="66" spans="1:3" x14ac:dyDescent="0.25">
      <c r="A66" s="171"/>
      <c r="B66" s="172"/>
      <c r="C66" s="172"/>
    </row>
    <row r="67" spans="1:3" x14ac:dyDescent="0.25">
      <c r="A67" s="171"/>
      <c r="B67" s="172"/>
      <c r="C67" s="172"/>
    </row>
    <row r="68" spans="1:3" x14ac:dyDescent="0.25">
      <c r="A68" s="171"/>
      <c r="B68" s="172"/>
      <c r="C68" s="172"/>
    </row>
    <row r="69" spans="1:3" x14ac:dyDescent="0.25">
      <c r="A69" s="171"/>
      <c r="B69" s="172"/>
      <c r="C69" s="172"/>
    </row>
    <row r="70" spans="1:3" x14ac:dyDescent="0.25">
      <c r="A70" s="171"/>
      <c r="B70" s="172"/>
      <c r="C70" s="172"/>
    </row>
    <row r="71" spans="1:3" x14ac:dyDescent="0.25">
      <c r="A71" s="171"/>
      <c r="B71" s="172"/>
      <c r="C71" s="172"/>
    </row>
    <row r="72" spans="1:3" x14ac:dyDescent="0.25">
      <c r="A72" s="171"/>
      <c r="B72" s="172"/>
      <c r="C72" s="172"/>
    </row>
    <row r="73" spans="1:3" x14ac:dyDescent="0.25">
      <c r="A73" s="171"/>
      <c r="B73" s="172"/>
      <c r="C73" s="172"/>
    </row>
    <row r="74" spans="1:3" x14ac:dyDescent="0.25">
      <c r="A74" s="171"/>
      <c r="B74" s="172"/>
      <c r="C74" s="172"/>
    </row>
    <row r="75" spans="1:3" x14ac:dyDescent="0.25">
      <c r="A75" s="171"/>
      <c r="B75" s="172"/>
      <c r="C75" s="172"/>
    </row>
    <row r="76" spans="1:3" x14ac:dyDescent="0.25">
      <c r="A76" s="171"/>
      <c r="B76" s="172"/>
      <c r="C76" s="172"/>
    </row>
    <row r="77" spans="1:3" x14ac:dyDescent="0.25">
      <c r="A77" s="171"/>
      <c r="B77" s="172"/>
      <c r="C77" s="172"/>
    </row>
    <row r="78" spans="1:3" x14ac:dyDescent="0.25">
      <c r="A78" s="171"/>
      <c r="B78" s="172"/>
      <c r="C78" s="172"/>
    </row>
    <row r="79" spans="1:3" x14ac:dyDescent="0.25">
      <c r="A79" s="171"/>
      <c r="B79" s="172"/>
      <c r="C79" s="172"/>
    </row>
    <row r="80" spans="1:3" x14ac:dyDescent="0.25">
      <c r="A80" s="171"/>
      <c r="B80" s="172"/>
      <c r="C80" s="172"/>
    </row>
    <row r="81" spans="1:3" x14ac:dyDescent="0.25">
      <c r="A81" s="171"/>
      <c r="B81" s="172"/>
      <c r="C81" s="172"/>
    </row>
    <row r="82" spans="1:3" x14ac:dyDescent="0.25">
      <c r="A82" s="171"/>
      <c r="B82" s="172"/>
      <c r="C82" s="172"/>
    </row>
    <row r="83" spans="1:3" x14ac:dyDescent="0.25">
      <c r="A83" s="171"/>
      <c r="B83" s="172"/>
      <c r="C83" s="172"/>
    </row>
    <row r="84" spans="1:3" x14ac:dyDescent="0.25">
      <c r="A84" s="171"/>
      <c r="B84" s="172"/>
      <c r="C84" s="172"/>
    </row>
    <row r="85" spans="1:3" x14ac:dyDescent="0.25">
      <c r="A85" s="171"/>
      <c r="B85" s="172"/>
      <c r="C85" s="172"/>
    </row>
    <row r="86" spans="1:3" x14ac:dyDescent="0.25">
      <c r="A86" s="171"/>
      <c r="B86" s="172"/>
      <c r="C86" s="172"/>
    </row>
    <row r="87" spans="1:3" x14ac:dyDescent="0.25">
      <c r="A87" s="171"/>
      <c r="B87" s="172"/>
      <c r="C87" s="172"/>
    </row>
    <row r="88" spans="1:3" x14ac:dyDescent="0.25">
      <c r="A88" s="171"/>
      <c r="B88" s="172"/>
      <c r="C88" s="172"/>
    </row>
    <row r="89" spans="1:3" x14ac:dyDescent="0.25">
      <c r="A89" s="171"/>
      <c r="B89" s="172"/>
      <c r="C89" s="172"/>
    </row>
    <row r="90" spans="1:3" x14ac:dyDescent="0.25">
      <c r="A90" s="171"/>
      <c r="B90" s="172"/>
      <c r="C90" s="172"/>
    </row>
    <row r="91" spans="1:3" x14ac:dyDescent="0.25">
      <c r="A91" s="171"/>
      <c r="B91" s="172"/>
      <c r="C91" s="172"/>
    </row>
    <row r="92" spans="1:3" x14ac:dyDescent="0.25">
      <c r="A92" s="171"/>
      <c r="B92" s="172"/>
      <c r="C92" s="172"/>
    </row>
    <row r="93" spans="1:3" x14ac:dyDescent="0.25">
      <c r="A93" s="171"/>
      <c r="B93" s="172"/>
      <c r="C93" s="172"/>
    </row>
    <row r="94" spans="1:3" x14ac:dyDescent="0.25">
      <c r="A94" s="171"/>
      <c r="B94" s="172"/>
      <c r="C94" s="172"/>
    </row>
    <row r="95" spans="1:3" x14ac:dyDescent="0.25">
      <c r="A95" s="171"/>
      <c r="B95" s="172"/>
      <c r="C95" s="172"/>
    </row>
    <row r="96" spans="1:3" x14ac:dyDescent="0.25">
      <c r="A96" s="171"/>
      <c r="B96" s="172"/>
      <c r="C96" s="172"/>
    </row>
    <row r="97" spans="1:3" x14ac:dyDescent="0.25">
      <c r="A97" s="171"/>
      <c r="B97" s="172"/>
      <c r="C97" s="172"/>
    </row>
    <row r="98" spans="1:3" x14ac:dyDescent="0.25">
      <c r="A98" s="171"/>
      <c r="B98" s="172"/>
      <c r="C98" s="172"/>
    </row>
    <row r="99" spans="1:3" x14ac:dyDescent="0.25">
      <c r="A99" s="171"/>
      <c r="B99" s="172"/>
      <c r="C99" s="172"/>
    </row>
    <row r="100" spans="1:3" x14ac:dyDescent="0.25">
      <c r="A100" s="171"/>
      <c r="B100" s="172"/>
      <c r="C100" s="172"/>
    </row>
    <row r="101" spans="1:3" x14ac:dyDescent="0.25">
      <c r="A101" s="171"/>
      <c r="B101" s="172"/>
      <c r="C101" s="172"/>
    </row>
    <row r="102" spans="1:3" x14ac:dyDescent="0.25">
      <c r="A102" s="171"/>
      <c r="B102" s="172"/>
      <c r="C102" s="172"/>
    </row>
    <row r="103" spans="1:3" x14ac:dyDescent="0.25">
      <c r="A103" s="171"/>
      <c r="B103" s="172"/>
      <c r="C103" s="172"/>
    </row>
    <row r="104" spans="1:3" x14ac:dyDescent="0.25">
      <c r="A104" s="171"/>
      <c r="B104" s="172"/>
      <c r="C104" s="172"/>
    </row>
    <row r="105" spans="1:3" x14ac:dyDescent="0.25">
      <c r="A105" s="171"/>
      <c r="B105" s="172"/>
      <c r="C105" s="172"/>
    </row>
    <row r="106" spans="1:3" x14ac:dyDescent="0.25">
      <c r="A106" s="171"/>
      <c r="B106" s="172"/>
      <c r="C106" s="172"/>
    </row>
    <row r="107" spans="1:3" x14ac:dyDescent="0.25">
      <c r="A107" s="171"/>
      <c r="B107" s="172"/>
      <c r="C107" s="172"/>
    </row>
    <row r="108" spans="1:3" x14ac:dyDescent="0.25">
      <c r="A108" s="171"/>
      <c r="B108" s="172"/>
      <c r="C108" s="172"/>
    </row>
    <row r="109" spans="1:3" x14ac:dyDescent="0.25">
      <c r="A109" s="171"/>
      <c r="B109" s="172"/>
      <c r="C109" s="172"/>
    </row>
    <row r="110" spans="1:3" x14ac:dyDescent="0.25">
      <c r="A110" s="171"/>
      <c r="B110" s="172"/>
      <c r="C110" s="172"/>
    </row>
    <row r="111" spans="1:3" x14ac:dyDescent="0.25">
      <c r="A111" s="171"/>
      <c r="B111" s="172"/>
      <c r="C111" s="172"/>
    </row>
    <row r="112" spans="1:3" x14ac:dyDescent="0.25">
      <c r="A112" s="171"/>
      <c r="B112" s="172"/>
      <c r="C112" s="172"/>
    </row>
    <row r="113" spans="1:3" x14ac:dyDescent="0.25">
      <c r="A113" s="171"/>
      <c r="B113" s="172"/>
      <c r="C113" s="172"/>
    </row>
    <row r="114" spans="1:3" x14ac:dyDescent="0.25">
      <c r="A114" s="171"/>
      <c r="B114" s="172"/>
      <c r="C114" s="172"/>
    </row>
    <row r="115" spans="1:3" x14ac:dyDescent="0.25">
      <c r="A115" s="171"/>
      <c r="B115" s="172"/>
      <c r="C115" s="172"/>
    </row>
    <row r="116" spans="1:3" x14ac:dyDescent="0.25">
      <c r="A116" s="171"/>
      <c r="B116" s="172"/>
      <c r="C116" s="172"/>
    </row>
    <row r="117" spans="1:3" x14ac:dyDescent="0.25">
      <c r="A117" s="171"/>
      <c r="B117" s="172"/>
      <c r="C117" s="172"/>
    </row>
    <row r="118" spans="1:3" x14ac:dyDescent="0.25">
      <c r="A118" s="171"/>
      <c r="B118" s="172"/>
      <c r="C118" s="172"/>
    </row>
    <row r="119" spans="1:3" x14ac:dyDescent="0.25">
      <c r="A119" s="171"/>
      <c r="B119" s="172"/>
      <c r="C119" s="172"/>
    </row>
    <row r="120" spans="1:3" x14ac:dyDescent="0.25">
      <c r="A120" s="171"/>
      <c r="B120" s="172"/>
      <c r="C120" s="172"/>
    </row>
    <row r="121" spans="1:3" x14ac:dyDescent="0.25">
      <c r="A121" s="171"/>
      <c r="B121" s="172"/>
      <c r="C121" s="172"/>
    </row>
    <row r="122" spans="1:3" x14ac:dyDescent="0.25">
      <c r="A122" s="171"/>
      <c r="B122" s="172"/>
      <c r="C122" s="172"/>
    </row>
    <row r="123" spans="1:3" x14ac:dyDescent="0.25">
      <c r="A123" s="171"/>
      <c r="B123" s="172"/>
      <c r="C123" s="172"/>
    </row>
    <row r="124" spans="1:3" x14ac:dyDescent="0.25">
      <c r="A124" s="171"/>
      <c r="B124" s="172"/>
      <c r="C124" s="172"/>
    </row>
    <row r="125" spans="1:3" x14ac:dyDescent="0.25">
      <c r="A125" s="171"/>
      <c r="B125" s="172"/>
      <c r="C125" s="172"/>
    </row>
    <row r="126" spans="1:3" x14ac:dyDescent="0.25">
      <c r="A126" s="171"/>
      <c r="B126" s="172"/>
      <c r="C126" s="172"/>
    </row>
    <row r="127" spans="1:3" x14ac:dyDescent="0.25">
      <c r="A127" s="171"/>
      <c r="B127" s="172"/>
      <c r="C127" s="172"/>
    </row>
    <row r="128" spans="1:3" x14ac:dyDescent="0.25">
      <c r="A128" s="171"/>
      <c r="B128" s="172"/>
      <c r="C128" s="172"/>
    </row>
    <row r="129" spans="1:3" x14ac:dyDescent="0.25">
      <c r="A129" s="171"/>
      <c r="B129" s="172"/>
      <c r="C129" s="172"/>
    </row>
    <row r="130" spans="1:3" x14ac:dyDescent="0.25">
      <c r="A130" s="171"/>
      <c r="B130" s="172"/>
      <c r="C130" s="172"/>
    </row>
    <row r="131" spans="1:3" x14ac:dyDescent="0.25">
      <c r="A131" s="171"/>
      <c r="B131" s="172"/>
      <c r="C131" s="172"/>
    </row>
    <row r="132" spans="1:3" x14ac:dyDescent="0.25">
      <c r="A132" s="171"/>
      <c r="B132" s="172"/>
      <c r="C132" s="172"/>
    </row>
    <row r="133" spans="1:3" x14ac:dyDescent="0.25">
      <c r="A133" s="171"/>
      <c r="B133" s="172"/>
      <c r="C133" s="172"/>
    </row>
    <row r="134" spans="1:3" x14ac:dyDescent="0.25">
      <c r="A134" s="171"/>
      <c r="B134" s="172"/>
      <c r="C134" s="172"/>
    </row>
    <row r="135" spans="1:3" x14ac:dyDescent="0.25">
      <c r="A135" s="171"/>
      <c r="B135" s="172"/>
      <c r="C135" s="172"/>
    </row>
    <row r="136" spans="1:3" x14ac:dyDescent="0.25">
      <c r="A136" s="171"/>
      <c r="B136" s="172"/>
      <c r="C136" s="172"/>
    </row>
    <row r="137" spans="1:3" x14ac:dyDescent="0.25">
      <c r="A137" s="171"/>
      <c r="B137" s="172"/>
      <c r="C137" s="172"/>
    </row>
    <row r="138" spans="1:3" x14ac:dyDescent="0.25">
      <c r="A138" s="171"/>
      <c r="B138" s="172"/>
      <c r="C138" s="172"/>
    </row>
    <row r="139" spans="1:3" x14ac:dyDescent="0.25">
      <c r="A139" s="171"/>
      <c r="B139" s="172"/>
      <c r="C139" s="172"/>
    </row>
    <row r="140" spans="1:3" x14ac:dyDescent="0.25">
      <c r="A140" s="171"/>
      <c r="B140" s="172"/>
      <c r="C140" s="172"/>
    </row>
    <row r="141" spans="1:3" x14ac:dyDescent="0.25">
      <c r="A141" s="171"/>
      <c r="B141" s="172"/>
      <c r="C141" s="172"/>
    </row>
    <row r="142" spans="1:3" x14ac:dyDescent="0.25">
      <c r="A142" s="171"/>
      <c r="B142" s="172"/>
      <c r="C142" s="172"/>
    </row>
    <row r="143" spans="1:3" x14ac:dyDescent="0.25">
      <c r="A143" s="171"/>
      <c r="B143" s="172"/>
      <c r="C143" s="172"/>
    </row>
    <row r="144" spans="1:3" x14ac:dyDescent="0.25">
      <c r="A144" s="171"/>
      <c r="B144" s="172"/>
      <c r="C144" s="172"/>
    </row>
    <row r="145" spans="1:3" x14ac:dyDescent="0.25">
      <c r="A145" s="171"/>
      <c r="B145" s="172"/>
      <c r="C145" s="172"/>
    </row>
    <row r="146" spans="1:3" x14ac:dyDescent="0.25">
      <c r="A146" s="171"/>
      <c r="B146" s="172"/>
      <c r="C146" s="172"/>
    </row>
    <row r="147" spans="1:3" x14ac:dyDescent="0.25">
      <c r="A147" s="171"/>
      <c r="B147" s="172"/>
      <c r="C147" s="172"/>
    </row>
    <row r="148" spans="1:3" x14ac:dyDescent="0.25">
      <c r="A148" s="171"/>
      <c r="B148" s="172"/>
      <c r="C148" s="172"/>
    </row>
    <row r="149" spans="1:3" x14ac:dyDescent="0.25">
      <c r="A149" s="171"/>
      <c r="B149" s="172"/>
      <c r="C149" s="172"/>
    </row>
    <row r="150" spans="1:3" x14ac:dyDescent="0.25">
      <c r="A150" s="171"/>
      <c r="B150" s="172"/>
      <c r="C150" s="172"/>
    </row>
    <row r="151" spans="1:3" x14ac:dyDescent="0.25">
      <c r="A151" s="171"/>
      <c r="B151" s="172"/>
      <c r="C151" s="172"/>
    </row>
    <row r="152" spans="1:3" x14ac:dyDescent="0.25">
      <c r="A152" s="171"/>
      <c r="B152" s="172"/>
      <c r="C152" s="172"/>
    </row>
    <row r="153" spans="1:3" x14ac:dyDescent="0.25">
      <c r="A153" s="171"/>
      <c r="B153" s="172"/>
      <c r="C153" s="172"/>
    </row>
    <row r="154" spans="1:3" x14ac:dyDescent="0.25">
      <c r="A154" s="171"/>
      <c r="B154" s="172"/>
      <c r="C154" s="172"/>
    </row>
    <row r="155" spans="1:3" x14ac:dyDescent="0.25">
      <c r="A155" s="171"/>
      <c r="B155" s="172"/>
      <c r="C155" s="172"/>
    </row>
    <row r="156" spans="1:3" x14ac:dyDescent="0.25">
      <c r="A156" s="171"/>
      <c r="B156" s="172"/>
      <c r="C156" s="172"/>
    </row>
    <row r="157" spans="1:3" x14ac:dyDescent="0.25">
      <c r="A157" s="171"/>
      <c r="B157" s="172"/>
      <c r="C157" s="172"/>
    </row>
    <row r="158" spans="1:3" x14ac:dyDescent="0.25">
      <c r="A158" s="171"/>
      <c r="B158" s="172"/>
      <c r="C158" s="172"/>
    </row>
    <row r="159" spans="1:3" x14ac:dyDescent="0.25">
      <c r="A159" s="171"/>
      <c r="B159" s="172"/>
      <c r="C159" s="172"/>
    </row>
    <row r="160" spans="1:3" x14ac:dyDescent="0.25">
      <c r="A160" s="171"/>
      <c r="B160" s="172"/>
      <c r="C160" s="172"/>
    </row>
    <row r="161" spans="1:3" x14ac:dyDescent="0.25">
      <c r="A161" s="171"/>
      <c r="B161" s="172"/>
      <c r="C161" s="172"/>
    </row>
    <row r="162" spans="1:3" x14ac:dyDescent="0.25">
      <c r="A162" s="171"/>
      <c r="B162" s="172"/>
      <c r="C162" s="172"/>
    </row>
    <row r="163" spans="1:3" x14ac:dyDescent="0.25">
      <c r="A163" s="171"/>
      <c r="B163" s="172"/>
      <c r="C163" s="172"/>
    </row>
    <row r="164" spans="1:3" x14ac:dyDescent="0.25">
      <c r="A164" s="171"/>
      <c r="B164" s="172"/>
      <c r="C164" s="172"/>
    </row>
    <row r="165" spans="1:3" x14ac:dyDescent="0.25">
      <c r="A165" s="171"/>
      <c r="B165" s="172"/>
      <c r="C165" s="172"/>
    </row>
    <row r="166" spans="1:3" x14ac:dyDescent="0.25">
      <c r="A166" s="171"/>
      <c r="B166" s="172"/>
      <c r="C166" s="172"/>
    </row>
    <row r="167" spans="1:3" x14ac:dyDescent="0.25">
      <c r="A167" s="171"/>
      <c r="B167" s="172"/>
      <c r="C167" s="172"/>
    </row>
    <row r="168" spans="1:3" x14ac:dyDescent="0.25">
      <c r="A168" s="171"/>
      <c r="B168" s="172"/>
      <c r="C168" s="172"/>
    </row>
    <row r="169" spans="1:3" x14ac:dyDescent="0.25">
      <c r="A169" s="171"/>
      <c r="B169" s="172"/>
      <c r="C169" s="172"/>
    </row>
    <row r="170" spans="1:3" x14ac:dyDescent="0.25">
      <c r="A170" s="171"/>
      <c r="B170" s="172"/>
      <c r="C170" s="172"/>
    </row>
    <row r="171" spans="1:3" x14ac:dyDescent="0.25">
      <c r="A171" s="171"/>
      <c r="B171" s="172"/>
      <c r="C171" s="172"/>
    </row>
    <row r="172" spans="1:3" x14ac:dyDescent="0.25">
      <c r="A172" s="171"/>
      <c r="B172" s="172"/>
      <c r="C172" s="172"/>
    </row>
    <row r="173" spans="1:3" x14ac:dyDescent="0.25">
      <c r="A173" s="171"/>
      <c r="B173" s="172"/>
      <c r="C173" s="172"/>
    </row>
    <row r="174" spans="1:3" x14ac:dyDescent="0.25">
      <c r="A174" s="171"/>
      <c r="B174" s="172"/>
      <c r="C174" s="172"/>
    </row>
    <row r="175" spans="1:3" x14ac:dyDescent="0.25">
      <c r="A175" s="171"/>
      <c r="B175" s="172"/>
      <c r="C175" s="172"/>
    </row>
    <row r="176" spans="1:3" x14ac:dyDescent="0.25">
      <c r="A176" s="171"/>
      <c r="B176" s="172"/>
      <c r="C176" s="172"/>
    </row>
    <row r="177" spans="1:3" x14ac:dyDescent="0.25">
      <c r="A177" s="171"/>
      <c r="B177" s="172"/>
      <c r="C177" s="172"/>
    </row>
    <row r="178" spans="1:3" x14ac:dyDescent="0.25">
      <c r="A178" s="171"/>
      <c r="B178" s="172"/>
      <c r="C178" s="172"/>
    </row>
    <row r="179" spans="1:3" x14ac:dyDescent="0.25">
      <c r="A179" s="171"/>
      <c r="B179" s="172"/>
      <c r="C179" s="172"/>
    </row>
    <row r="180" spans="1:3" x14ac:dyDescent="0.25">
      <c r="A180" s="171"/>
      <c r="B180" s="172"/>
      <c r="C180" s="172"/>
    </row>
    <row r="181" spans="1:3" x14ac:dyDescent="0.25">
      <c r="A181" s="171"/>
      <c r="B181" s="172"/>
      <c r="C181" s="172"/>
    </row>
    <row r="182" spans="1:3" x14ac:dyDescent="0.25">
      <c r="A182" s="171"/>
      <c r="B182" s="172"/>
      <c r="C182" s="172"/>
    </row>
    <row r="183" spans="1:3" x14ac:dyDescent="0.25">
      <c r="A183" s="171"/>
      <c r="B183" s="172"/>
      <c r="C183" s="172"/>
    </row>
    <row r="184" spans="1:3" x14ac:dyDescent="0.25">
      <c r="A184" s="171"/>
      <c r="B184" s="172"/>
      <c r="C184" s="172"/>
    </row>
    <row r="185" spans="1:3" x14ac:dyDescent="0.25">
      <c r="A185" s="171"/>
      <c r="B185" s="172"/>
      <c r="C185" s="172"/>
    </row>
    <row r="186" spans="1:3" x14ac:dyDescent="0.25">
      <c r="A186" s="171"/>
      <c r="B186" s="172"/>
      <c r="C186" s="172"/>
    </row>
    <row r="187" spans="1:3" x14ac:dyDescent="0.25">
      <c r="A187" s="171"/>
      <c r="B187" s="172"/>
      <c r="C187" s="172"/>
    </row>
    <row r="188" spans="1:3" x14ac:dyDescent="0.25">
      <c r="A188" s="171"/>
      <c r="B188" s="172"/>
      <c r="C188" s="172"/>
    </row>
    <row r="189" spans="1:3" x14ac:dyDescent="0.25">
      <c r="A189" s="171"/>
      <c r="B189" s="172"/>
      <c r="C189" s="172"/>
    </row>
    <row r="190" spans="1:3" x14ac:dyDescent="0.25">
      <c r="A190" s="171"/>
      <c r="B190" s="172"/>
      <c r="C190" s="172"/>
    </row>
    <row r="191" spans="1:3" x14ac:dyDescent="0.25">
      <c r="A191" s="171"/>
      <c r="B191" s="172"/>
      <c r="C191" s="172"/>
    </row>
    <row r="192" spans="1:3" x14ac:dyDescent="0.25">
      <c r="A192" s="171"/>
      <c r="B192" s="172"/>
      <c r="C192" s="172"/>
    </row>
    <row r="193" spans="1:4" x14ac:dyDescent="0.25">
      <c r="A193" s="171"/>
      <c r="B193" s="172"/>
      <c r="C193" s="172"/>
    </row>
    <row r="194" spans="1:4" x14ac:dyDescent="0.25">
      <c r="A194" s="171"/>
      <c r="B194" s="172"/>
      <c r="C194" s="172"/>
    </row>
    <row r="195" spans="1:4" x14ac:dyDescent="0.25">
      <c r="A195" s="171"/>
      <c r="B195" s="172"/>
      <c r="C195" s="172"/>
    </row>
    <row r="196" spans="1:4" x14ac:dyDescent="0.25">
      <c r="A196" s="171"/>
      <c r="B196" s="172"/>
      <c r="C196" s="172"/>
    </row>
    <row r="197" spans="1:4" x14ac:dyDescent="0.25">
      <c r="A197" s="171"/>
      <c r="B197" s="172"/>
      <c r="C197" s="172"/>
    </row>
    <row r="198" spans="1:4" x14ac:dyDescent="0.25">
      <c r="A198" s="171"/>
      <c r="B198" s="172"/>
      <c r="C198" s="172"/>
    </row>
    <row r="199" spans="1:4" x14ac:dyDescent="0.25">
      <c r="A199" s="171"/>
      <c r="B199" s="172"/>
      <c r="C199" s="172"/>
    </row>
    <row r="200" spans="1:4" x14ac:dyDescent="0.25">
      <c r="A200" s="171"/>
      <c r="B200" s="172"/>
      <c r="C200" s="172"/>
    </row>
    <row r="201" spans="1:4" x14ac:dyDescent="0.25">
      <c r="A201" s="171"/>
      <c r="B201" s="172"/>
      <c r="C201" s="172"/>
    </row>
    <row r="202" spans="1:4" x14ac:dyDescent="0.25">
      <c r="A202" s="171"/>
      <c r="B202" s="172"/>
      <c r="C202" s="172"/>
    </row>
    <row r="203" spans="1:4" x14ac:dyDescent="0.25">
      <c r="A203" s="171"/>
      <c r="B203" s="172"/>
      <c r="C203" s="172"/>
    </row>
    <row r="204" spans="1:4" x14ac:dyDescent="0.25">
      <c r="A204" s="171"/>
      <c r="B204" s="172"/>
      <c r="C204" s="172"/>
    </row>
    <row r="205" spans="1:4" x14ac:dyDescent="0.25">
      <c r="A205" s="171"/>
      <c r="B205" s="172"/>
      <c r="C205" s="172"/>
    </row>
    <row r="206" spans="1:4" x14ac:dyDescent="0.25">
      <c r="A206" s="171"/>
      <c r="B206" s="172"/>
      <c r="C206" s="172"/>
    </row>
    <row r="207" spans="1:4" x14ac:dyDescent="0.25">
      <c r="A207" s="171"/>
      <c r="B207" s="171"/>
      <c r="C207" s="171"/>
    </row>
    <row r="208" spans="1:4" x14ac:dyDescent="0.25">
      <c r="A208" s="173" t="s">
        <v>75</v>
      </c>
      <c r="B208" s="173" t="s">
        <v>128</v>
      </c>
      <c r="C208" s="174" t="s">
        <v>75</v>
      </c>
      <c r="D208" s="174" t="s">
        <v>128</v>
      </c>
    </row>
    <row r="209" spans="1:7" x14ac:dyDescent="0.25">
      <c r="A209" s="173" t="s">
        <v>76</v>
      </c>
      <c r="B209" s="173" t="s">
        <v>54</v>
      </c>
      <c r="C209" s="96" t="s">
        <v>76</v>
      </c>
      <c r="E209" s="96" t="str">
        <f>IF(NOT(ISBLANK(C209)),C209,IF(NOT(ISBLANK(D209)),"     "&amp;D209,FALSE))</f>
        <v>Afectación Económica o presupuestal</v>
      </c>
      <c r="F209" s="96" t="s">
        <v>76</v>
      </c>
      <c r="G209" s="96" t="str">
        <f ca="1">IF(NOT(ISERROR(MATCH(F209,_xlfn.ANCHORARRAY(A220),0))),E222&amp;"Por favor no seleccionar los criterios de impacto",F209)</f>
        <v>Afectación Económica o presupuestal</v>
      </c>
    </row>
    <row r="210" spans="1:7" x14ac:dyDescent="0.25">
      <c r="A210" s="173" t="s">
        <v>76</v>
      </c>
      <c r="B210" s="173" t="s">
        <v>78</v>
      </c>
      <c r="D210" s="96" t="s">
        <v>54</v>
      </c>
      <c r="E210" s="96" t="str">
        <f t="shared" ref="E210:E220" si="0">IF(NOT(ISBLANK(C210)),C210,IF(NOT(ISBLANK(D210)),"     "&amp;D210,FALSE))</f>
        <v xml:space="preserve">     Afectación menor a 10 SMLMV .</v>
      </c>
    </row>
    <row r="211" spans="1:7" x14ac:dyDescent="0.25">
      <c r="A211" s="173" t="s">
        <v>76</v>
      </c>
      <c r="B211" s="173" t="s">
        <v>79</v>
      </c>
      <c r="D211" s="96" t="s">
        <v>78</v>
      </c>
      <c r="E211" s="96" t="str">
        <f t="shared" si="0"/>
        <v xml:space="preserve">     Entre 10 y 50 SMLMV </v>
      </c>
    </row>
    <row r="212" spans="1:7" x14ac:dyDescent="0.25">
      <c r="A212" s="173" t="s">
        <v>76</v>
      </c>
      <c r="B212" s="173" t="s">
        <v>80</v>
      </c>
      <c r="D212" s="96" t="s">
        <v>79</v>
      </c>
      <c r="E212" s="96" t="str">
        <f t="shared" si="0"/>
        <v xml:space="preserve">     Entre 50 y 100 SMLMV </v>
      </c>
    </row>
    <row r="213" spans="1:7" x14ac:dyDescent="0.25">
      <c r="A213" s="173" t="s">
        <v>76</v>
      </c>
      <c r="B213" s="173" t="s">
        <v>81</v>
      </c>
      <c r="D213" s="96" t="s">
        <v>80</v>
      </c>
      <c r="E213" s="96" t="str">
        <f t="shared" si="0"/>
        <v xml:space="preserve">     Entre 100 y 500 SMLMV </v>
      </c>
    </row>
    <row r="214" spans="1:7" x14ac:dyDescent="0.25">
      <c r="A214" s="173" t="s">
        <v>53</v>
      </c>
      <c r="B214" s="173" t="s">
        <v>82</v>
      </c>
      <c r="D214" s="96" t="s">
        <v>81</v>
      </c>
      <c r="E214" s="96" t="str">
        <f t="shared" si="0"/>
        <v xml:space="preserve">     Mayor a 500 SMLMV </v>
      </c>
    </row>
    <row r="215" spans="1:7" x14ac:dyDescent="0.25">
      <c r="A215" s="173" t="s">
        <v>53</v>
      </c>
      <c r="B215" s="173" t="s">
        <v>83</v>
      </c>
      <c r="C215" s="96" t="s">
        <v>53</v>
      </c>
      <c r="E215" s="96" t="str">
        <f t="shared" si="0"/>
        <v>Pérdida Reputacional</v>
      </c>
    </row>
    <row r="216" spans="1:7" x14ac:dyDescent="0.25">
      <c r="A216" s="173" t="s">
        <v>53</v>
      </c>
      <c r="B216" s="173" t="s">
        <v>85</v>
      </c>
      <c r="D216" s="96" t="s">
        <v>82</v>
      </c>
      <c r="E216" s="96" t="str">
        <f t="shared" si="0"/>
        <v xml:space="preserve">     El riesgo afecta la imagen de alguna área de la organización</v>
      </c>
    </row>
    <row r="217" spans="1:7" x14ac:dyDescent="0.25">
      <c r="A217" s="173" t="s">
        <v>53</v>
      </c>
      <c r="B217" s="173" t="s">
        <v>84</v>
      </c>
      <c r="D217" s="96" t="s">
        <v>83</v>
      </c>
      <c r="E217" s="96" t="str">
        <f t="shared" si="0"/>
        <v xml:space="preserve">     El riesgo afecta la imagen de la entidad internamente, de conocimiento general, nivel interno, de junta dircetiva y accionistas y/o de provedores</v>
      </c>
    </row>
    <row r="218" spans="1:7" x14ac:dyDescent="0.25">
      <c r="A218" s="173" t="s">
        <v>53</v>
      </c>
      <c r="B218" s="173" t="s">
        <v>103</v>
      </c>
      <c r="D218" s="96" t="s">
        <v>85</v>
      </c>
      <c r="E218" s="96" t="str">
        <f t="shared" si="0"/>
        <v xml:space="preserve">     El riesgo afecta la imagen de la entidad con algunos usuarios de relevancia frente al logro de los objetivos</v>
      </c>
    </row>
    <row r="219" spans="1:7" x14ac:dyDescent="0.25">
      <c r="A219" s="175"/>
      <c r="B219" s="175"/>
      <c r="D219" s="96" t="s">
        <v>84</v>
      </c>
      <c r="E219" s="96" t="str">
        <f t="shared" si="0"/>
        <v xml:space="preserve">     El riesgo afecta la imagen de de la entidad con efecto publicitario sostenido a nivel de sector administrativo, nivel departamental o municipal</v>
      </c>
    </row>
    <row r="220" spans="1:7" x14ac:dyDescent="0.25">
      <c r="A220" s="175" t="e">
        <f t="array" aca="1" ref="A220:A222" ca="1">_xlfn.UNIQUE(Tabla1[[#All],[Criterios]])</f>
        <v>#NAME?</v>
      </c>
      <c r="B220" s="175"/>
      <c r="D220" s="96" t="s">
        <v>103</v>
      </c>
      <c r="E220" s="96" t="str">
        <f t="shared" si="0"/>
        <v xml:space="preserve">     El riesgo afecta la imagen de la entidad a nivel nacional, con efecto publicitarios sostenible a nivel país</v>
      </c>
    </row>
    <row r="221" spans="1:7" x14ac:dyDescent="0.25">
      <c r="A221" s="175" t="e">
        <f ca="1"/>
        <v>#NAME?</v>
      </c>
      <c r="B221" s="175"/>
    </row>
    <row r="222" spans="1:7" x14ac:dyDescent="0.25">
      <c r="A222" s="175" t="e">
        <f ca="1"/>
        <v>#NAME?</v>
      </c>
      <c r="B222" s="175"/>
      <c r="E222" s="176" t="s">
        <v>129</v>
      </c>
    </row>
    <row r="223" spans="1:7" x14ac:dyDescent="0.25">
      <c r="A223" s="177"/>
      <c r="B223" s="177"/>
      <c r="E223" s="176" t="s">
        <v>130</v>
      </c>
    </row>
    <row r="224" spans="1:7" x14ac:dyDescent="0.25">
      <c r="A224" s="177"/>
      <c r="B224" s="177"/>
    </row>
    <row r="225" spans="1:3" x14ac:dyDescent="0.25">
      <c r="A225" s="177"/>
      <c r="B225" s="177"/>
    </row>
    <row r="226" spans="1:3" x14ac:dyDescent="0.25">
      <c r="A226" s="177"/>
      <c r="B226" s="177"/>
      <c r="C226" s="177"/>
    </row>
    <row r="227" spans="1:3" x14ac:dyDescent="0.25">
      <c r="A227" s="177"/>
      <c r="B227" s="177"/>
      <c r="C227" s="177"/>
    </row>
    <row r="228" spans="1:3" x14ac:dyDescent="0.25">
      <c r="A228" s="177"/>
      <c r="B228" s="177"/>
      <c r="C228" s="177"/>
    </row>
    <row r="229" spans="1:3" x14ac:dyDescent="0.25">
      <c r="A229" s="177"/>
      <c r="B229" s="177"/>
      <c r="C229" s="177"/>
    </row>
    <row r="230" spans="1:3" x14ac:dyDescent="0.25">
      <c r="A230" s="177"/>
      <c r="B230" s="177"/>
      <c r="C230" s="177"/>
    </row>
    <row r="231" spans="1:3" x14ac:dyDescent="0.25">
      <c r="A231" s="177"/>
      <c r="B231" s="177"/>
      <c r="C231" s="177"/>
    </row>
  </sheetData>
  <dataValidations disablePrompts="1" count="1">
    <dataValidation type="list" allowBlank="1" showInputMessage="1" showErrorMessage="1" sqref="F209">
      <formula1>$E$209:$E$220</formula1>
    </dataValidation>
  </dataValidations>
  <hyperlinks>
    <hyperlink ref="C10" r:id="rId2"/>
  </hyperlinks>
  <printOptions horizontalCentered="1"/>
  <pageMargins left="0.78740157480314965" right="0.78740157480314965" top="0.78740157480314965" bottom="0.78740157480314965" header="0.31496062992125984" footer="0.31496062992125984"/>
  <pageSetup scale="65" orientation="landscape" verticalDpi="597" r:id="rId3"/>
  <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workbookViewId="0">
      <selection activeCell="D1" sqref="D1"/>
    </sheetView>
  </sheetViews>
  <sheetFormatPr baseColWidth="10" defaultColWidth="14.28515625" defaultRowHeight="15" x14ac:dyDescent="0.25"/>
  <cols>
    <col min="1" max="1" width="15.42578125" style="84" customWidth="1"/>
    <col min="2" max="2" width="17.28515625" style="84" customWidth="1"/>
    <col min="3" max="3" width="15.42578125" style="84" customWidth="1"/>
    <col min="4" max="4" width="46" style="84" customWidth="1"/>
    <col min="5" max="5" width="20.5703125" style="84" customWidth="1"/>
    <col min="6" max="16384" width="14.28515625" style="84"/>
  </cols>
  <sheetData>
    <row r="1" spans="1:5" ht="50.25" customHeight="1" x14ac:dyDescent="0.25">
      <c r="A1" s="178"/>
      <c r="B1" s="188" t="s">
        <v>272</v>
      </c>
      <c r="C1" s="188" t="s">
        <v>272</v>
      </c>
      <c r="D1" s="188" t="s">
        <v>272</v>
      </c>
      <c r="E1" s="188" t="s">
        <v>272</v>
      </c>
    </row>
    <row r="2" spans="1:5" ht="15.75" customHeight="1" x14ac:dyDescent="0.25">
      <c r="A2" s="158" t="s">
        <v>67</v>
      </c>
      <c r="B2" s="158" t="s">
        <v>67</v>
      </c>
      <c r="C2" s="158" t="s">
        <v>67</v>
      </c>
      <c r="D2" s="158" t="s">
        <v>67</v>
      </c>
      <c r="E2" s="158" t="s">
        <v>67</v>
      </c>
    </row>
    <row r="3" spans="1:5" ht="15.75" customHeight="1" x14ac:dyDescent="0.25">
      <c r="A3" s="155" t="s">
        <v>59</v>
      </c>
      <c r="B3" s="155" t="s">
        <v>59</v>
      </c>
      <c r="C3" s="155" t="s">
        <v>59</v>
      </c>
      <c r="D3" s="155" t="s">
        <v>60</v>
      </c>
      <c r="E3" s="155" t="s">
        <v>61</v>
      </c>
    </row>
    <row r="4" spans="1:5" ht="30" x14ac:dyDescent="0.25">
      <c r="A4" s="156" t="s">
        <v>62</v>
      </c>
      <c r="B4" s="156" t="s">
        <v>12</v>
      </c>
      <c r="C4" s="156" t="s">
        <v>13</v>
      </c>
      <c r="D4" s="156" t="s">
        <v>269</v>
      </c>
      <c r="E4" s="157">
        <v>0.25</v>
      </c>
    </row>
    <row r="5" spans="1:5" ht="45" x14ac:dyDescent="0.25">
      <c r="A5" s="156" t="s">
        <v>62</v>
      </c>
      <c r="B5" s="156" t="s">
        <v>12</v>
      </c>
      <c r="C5" s="156" t="s">
        <v>14</v>
      </c>
      <c r="D5" s="156" t="s">
        <v>268</v>
      </c>
      <c r="E5" s="157">
        <v>0.15</v>
      </c>
    </row>
    <row r="6" spans="1:5" ht="45" x14ac:dyDescent="0.25">
      <c r="A6" s="156" t="s">
        <v>62</v>
      </c>
      <c r="B6" s="156" t="s">
        <v>12</v>
      </c>
      <c r="C6" s="156" t="s">
        <v>15</v>
      </c>
      <c r="D6" s="156" t="s">
        <v>267</v>
      </c>
      <c r="E6" s="157">
        <v>0.1</v>
      </c>
    </row>
    <row r="7" spans="1:5" ht="75" x14ac:dyDescent="0.25">
      <c r="A7" s="156" t="s">
        <v>62</v>
      </c>
      <c r="B7" s="179" t="s">
        <v>16</v>
      </c>
      <c r="C7" s="156" t="s">
        <v>9</v>
      </c>
      <c r="D7" s="156" t="s">
        <v>270</v>
      </c>
      <c r="E7" s="157">
        <v>0.25</v>
      </c>
    </row>
    <row r="8" spans="1:5" ht="30" x14ac:dyDescent="0.25">
      <c r="A8" s="156" t="s">
        <v>62</v>
      </c>
      <c r="B8" s="179" t="s">
        <v>16</v>
      </c>
      <c r="C8" s="156" t="s">
        <v>8</v>
      </c>
      <c r="D8" s="156" t="s">
        <v>63</v>
      </c>
      <c r="E8" s="157">
        <v>0.15</v>
      </c>
    </row>
    <row r="9" spans="1:5" ht="60" x14ac:dyDescent="0.25">
      <c r="A9" s="156" t="s">
        <v>264</v>
      </c>
      <c r="B9" s="156" t="s">
        <v>17</v>
      </c>
      <c r="C9" s="156" t="s">
        <v>18</v>
      </c>
      <c r="D9" s="156" t="s">
        <v>265</v>
      </c>
      <c r="E9" s="156" t="s">
        <v>64</v>
      </c>
    </row>
    <row r="10" spans="1:5" ht="60" x14ac:dyDescent="0.25">
      <c r="A10" s="156" t="s">
        <v>264</v>
      </c>
      <c r="B10" s="156" t="s">
        <v>17</v>
      </c>
      <c r="C10" s="156" t="s">
        <v>19</v>
      </c>
      <c r="D10" s="156" t="s">
        <v>65</v>
      </c>
      <c r="E10" s="156" t="s">
        <v>64</v>
      </c>
    </row>
    <row r="11" spans="1:5" ht="45" x14ac:dyDescent="0.25">
      <c r="A11" s="156" t="s">
        <v>264</v>
      </c>
      <c r="B11" s="156" t="s">
        <v>20</v>
      </c>
      <c r="C11" s="156" t="s">
        <v>21</v>
      </c>
      <c r="D11" s="156" t="s">
        <v>266</v>
      </c>
      <c r="E11" s="156" t="s">
        <v>64</v>
      </c>
    </row>
    <row r="12" spans="1:5" ht="45" x14ac:dyDescent="0.25">
      <c r="A12" s="156" t="s">
        <v>264</v>
      </c>
      <c r="B12" s="156" t="s">
        <v>20</v>
      </c>
      <c r="C12" s="156" t="s">
        <v>22</v>
      </c>
      <c r="D12" s="156" t="s">
        <v>66</v>
      </c>
      <c r="E12" s="156" t="s">
        <v>64</v>
      </c>
    </row>
    <row r="13" spans="1:5" ht="30" x14ac:dyDescent="0.25">
      <c r="A13" s="156" t="s">
        <v>264</v>
      </c>
      <c r="B13" s="156" t="s">
        <v>23</v>
      </c>
      <c r="C13" s="156" t="s">
        <v>104</v>
      </c>
      <c r="D13" s="156" t="s">
        <v>107</v>
      </c>
      <c r="E13" s="156" t="s">
        <v>64</v>
      </c>
    </row>
    <row r="14" spans="1:5" ht="30" x14ac:dyDescent="0.25">
      <c r="A14" s="156" t="s">
        <v>264</v>
      </c>
      <c r="B14" s="156" t="s">
        <v>23</v>
      </c>
      <c r="C14" s="156" t="s">
        <v>105</v>
      </c>
      <c r="D14" s="156" t="s">
        <v>106</v>
      </c>
      <c r="E14" s="156" t="s">
        <v>64</v>
      </c>
    </row>
    <row r="15" spans="1:5" ht="49.5" customHeight="1" x14ac:dyDescent="0.25">
      <c r="A15" s="190" t="s">
        <v>271</v>
      </c>
      <c r="B15" s="190" t="s">
        <v>271</v>
      </c>
      <c r="C15" s="190" t="s">
        <v>271</v>
      </c>
      <c r="D15" s="190" t="s">
        <v>271</v>
      </c>
      <c r="E15" s="190" t="s">
        <v>271</v>
      </c>
    </row>
    <row r="16" spans="1:5" ht="66" customHeight="1" x14ac:dyDescent="0.25">
      <c r="A16" s="191" t="s">
        <v>263</v>
      </c>
      <c r="B16" s="191" t="s">
        <v>263</v>
      </c>
      <c r="C16" s="191" t="s">
        <v>263</v>
      </c>
      <c r="D16" s="191" t="s">
        <v>263</v>
      </c>
      <c r="E16" s="191" t="s">
        <v>263</v>
      </c>
    </row>
    <row r="17" spans="1:5" ht="66" customHeight="1" x14ac:dyDescent="0.25">
      <c r="A17" s="191" t="s">
        <v>388</v>
      </c>
      <c r="B17" s="191" t="s">
        <v>388</v>
      </c>
      <c r="C17" s="191" t="s">
        <v>388</v>
      </c>
      <c r="D17" s="191" t="s">
        <v>388</v>
      </c>
      <c r="E17" s="191" t="s">
        <v>388</v>
      </c>
    </row>
    <row r="18" spans="1:5" ht="30" x14ac:dyDescent="0.25">
      <c r="A18" s="191" t="s">
        <v>386</v>
      </c>
      <c r="B18" s="191" t="s">
        <v>386</v>
      </c>
      <c r="C18" s="191" t="s">
        <v>386</v>
      </c>
      <c r="D18" s="191" t="s">
        <v>386</v>
      </c>
      <c r="E18" s="191" t="s">
        <v>386</v>
      </c>
    </row>
  </sheetData>
  <printOptions verticalCentered="1"/>
  <pageMargins left="0.78740157480314965" right="0.78740157480314965" top="0.78740157480314965" bottom="0.78740157480314965" header="0.31496062992125984" footer="0.31496062992125984"/>
  <pageSetup scale="75" orientation="portrait" verticalDpi="597"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workbookViewId="0">
      <selection activeCell="F5" sqref="F5"/>
    </sheetView>
  </sheetViews>
  <sheetFormatPr baseColWidth="10" defaultRowHeight="15" x14ac:dyDescent="0.25"/>
  <cols>
    <col min="6" max="6" width="16.28515625" customWidth="1"/>
  </cols>
  <sheetData>
    <row r="2" spans="2:6" x14ac:dyDescent="0.25">
      <c r="B2" t="s">
        <v>30</v>
      </c>
      <c r="F2" t="s">
        <v>117</v>
      </c>
    </row>
    <row r="3" spans="2:6" x14ac:dyDescent="0.25">
      <c r="B3" t="s">
        <v>31</v>
      </c>
      <c r="F3" t="s">
        <v>116</v>
      </c>
    </row>
    <row r="4" spans="2:6" x14ac:dyDescent="0.25">
      <c r="B4" t="s">
        <v>121</v>
      </c>
      <c r="F4" t="s">
        <v>118</v>
      </c>
    </row>
    <row r="5" spans="2:6" x14ac:dyDescent="0.25">
      <c r="B5" t="s">
        <v>120</v>
      </c>
      <c r="F5" t="s">
        <v>199</v>
      </c>
    </row>
    <row r="6" spans="2:6" x14ac:dyDescent="0.25">
      <c r="F6" t="s">
        <v>200</v>
      </c>
    </row>
    <row r="7" spans="2:6" x14ac:dyDescent="0.25">
      <c r="F7" t="s">
        <v>201</v>
      </c>
    </row>
    <row r="8" spans="2:6" x14ac:dyDescent="0.25">
      <c r="B8" t="s">
        <v>73</v>
      </c>
    </row>
    <row r="9" spans="2:6" x14ac:dyDescent="0.25">
      <c r="B9" t="s">
        <v>39</v>
      </c>
    </row>
    <row r="10" spans="2:6" x14ac:dyDescent="0.25">
      <c r="B10" t="s">
        <v>40</v>
      </c>
    </row>
    <row r="13" spans="2:6" x14ac:dyDescent="0.25">
      <c r="B13" t="s">
        <v>114</v>
      </c>
    </row>
    <row r="14" spans="2:6" x14ac:dyDescent="0.25">
      <c r="B14" t="s">
        <v>108</v>
      </c>
    </row>
    <row r="15" spans="2:6" x14ac:dyDescent="0.25">
      <c r="B15" t="s">
        <v>111</v>
      </c>
    </row>
    <row r="16" spans="2:6" x14ac:dyDescent="0.25">
      <c r="B16" t="s">
        <v>109</v>
      </c>
    </row>
    <row r="17" spans="2:2" x14ac:dyDescent="0.25">
      <c r="B17" t="s">
        <v>110</v>
      </c>
    </row>
    <row r="18" spans="2:2" x14ac:dyDescent="0.25">
      <c r="B18" t="s">
        <v>112</v>
      </c>
    </row>
    <row r="19" spans="2:2" x14ac:dyDescent="0.25">
      <c r="B19" t="s">
        <v>113</v>
      </c>
    </row>
  </sheetData>
  <sortState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7" customWidth="1"/>
    <col min="2" max="16384" width="11.42578125" style="7"/>
  </cols>
  <sheetData>
    <row r="3" spans="1:1" x14ac:dyDescent="0.2">
      <c r="A3" s="8" t="s">
        <v>13</v>
      </c>
    </row>
    <row r="4" spans="1:1" x14ac:dyDescent="0.2">
      <c r="A4" s="8" t="s">
        <v>14</v>
      </c>
    </row>
    <row r="5" spans="1:1" x14ac:dyDescent="0.2">
      <c r="A5" s="8" t="s">
        <v>15</v>
      </c>
    </row>
    <row r="6" spans="1:1" x14ac:dyDescent="0.2">
      <c r="A6" s="8" t="s">
        <v>9</v>
      </c>
    </row>
    <row r="7" spans="1:1" x14ac:dyDescent="0.2">
      <c r="A7" s="8" t="s">
        <v>8</v>
      </c>
    </row>
    <row r="8" spans="1:1" x14ac:dyDescent="0.2">
      <c r="A8" s="8" t="s">
        <v>18</v>
      </c>
    </row>
    <row r="9" spans="1:1" x14ac:dyDescent="0.2">
      <c r="A9" s="8" t="s">
        <v>19</v>
      </c>
    </row>
    <row r="10" spans="1:1" x14ac:dyDescent="0.2">
      <c r="A10" s="8" t="s">
        <v>21</v>
      </c>
    </row>
    <row r="11" spans="1:1" x14ac:dyDescent="0.2">
      <c r="A11" s="8" t="s">
        <v>22</v>
      </c>
    </row>
    <row r="12" spans="1:1" x14ac:dyDescent="0.2">
      <c r="A12" s="8" t="s">
        <v>24</v>
      </c>
    </row>
    <row r="13" spans="1:1" x14ac:dyDescent="0.2">
      <c r="A13" s="8" t="s">
        <v>25</v>
      </c>
    </row>
    <row r="14" spans="1:1" x14ac:dyDescent="0.2">
      <c r="A14" s="8" t="s">
        <v>26</v>
      </c>
    </row>
    <row r="16" spans="1:1" x14ac:dyDescent="0.2">
      <c r="A16" s="8" t="s">
        <v>29</v>
      </c>
    </row>
    <row r="17" spans="1:1" x14ac:dyDescent="0.2">
      <c r="A17" s="8" t="s">
        <v>30</v>
      </c>
    </row>
    <row r="18" spans="1:1" x14ac:dyDescent="0.2">
      <c r="A18" s="8" t="s">
        <v>31</v>
      </c>
    </row>
    <row r="20" spans="1:1" x14ac:dyDescent="0.2">
      <c r="A20" s="8" t="s">
        <v>39</v>
      </c>
    </row>
    <row r="21" spans="1:1" x14ac:dyDescent="0.2">
      <c r="A21" s="8"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I38"/>
  <sheetViews>
    <sheetView topLeftCell="B1" workbookViewId="0">
      <selection activeCell="L37" sqref="L37"/>
    </sheetView>
  </sheetViews>
  <sheetFormatPr baseColWidth="10" defaultRowHeight="15" x14ac:dyDescent="0.25"/>
  <sheetData>
    <row r="7" spans="5:6" x14ac:dyDescent="0.25">
      <c r="E7" t="s">
        <v>239</v>
      </c>
      <c r="F7">
        <v>5</v>
      </c>
    </row>
    <row r="8" spans="5:6" x14ac:dyDescent="0.25">
      <c r="E8" t="s">
        <v>238</v>
      </c>
      <c r="F8">
        <v>21</v>
      </c>
    </row>
    <row r="21" spans="4:9" x14ac:dyDescent="0.25">
      <c r="D21" t="s">
        <v>240</v>
      </c>
      <c r="E21" t="s">
        <v>238</v>
      </c>
      <c r="F21" t="s">
        <v>239</v>
      </c>
      <c r="G21" t="s">
        <v>242</v>
      </c>
    </row>
    <row r="22" spans="4:9" x14ac:dyDescent="0.25">
      <c r="D22" t="s">
        <v>69</v>
      </c>
      <c r="E22">
        <v>9</v>
      </c>
      <c r="F22">
        <v>2</v>
      </c>
      <c r="G22">
        <f>E22+F22</f>
        <v>11</v>
      </c>
      <c r="H22" t="s">
        <v>69</v>
      </c>
      <c r="I22">
        <v>11</v>
      </c>
    </row>
    <row r="23" spans="4:9" x14ac:dyDescent="0.25">
      <c r="D23" t="s">
        <v>70</v>
      </c>
      <c r="E23">
        <v>10</v>
      </c>
      <c r="F23">
        <v>3</v>
      </c>
      <c r="G23">
        <f>E23+F23</f>
        <v>13</v>
      </c>
      <c r="H23" t="s">
        <v>70</v>
      </c>
      <c r="I23">
        <v>13</v>
      </c>
    </row>
    <row r="24" spans="4:9" x14ac:dyDescent="0.25">
      <c r="D24" t="s">
        <v>241</v>
      </c>
      <c r="E24">
        <v>2</v>
      </c>
      <c r="F24">
        <v>0</v>
      </c>
      <c r="G24">
        <f>E24+F24</f>
        <v>2</v>
      </c>
      <c r="H24" t="s">
        <v>241</v>
      </c>
      <c r="I24">
        <v>2</v>
      </c>
    </row>
    <row r="35" spans="4:9" x14ac:dyDescent="0.25">
      <c r="D35" t="s">
        <v>243</v>
      </c>
      <c r="E35" t="s">
        <v>238</v>
      </c>
      <c r="F35" t="s">
        <v>239</v>
      </c>
      <c r="G35" t="s">
        <v>242</v>
      </c>
    </row>
    <row r="36" spans="4:9" x14ac:dyDescent="0.25">
      <c r="D36" t="s">
        <v>69</v>
      </c>
      <c r="E36">
        <v>8</v>
      </c>
      <c r="F36">
        <v>2</v>
      </c>
      <c r="G36">
        <f>E36+F36</f>
        <v>10</v>
      </c>
      <c r="H36" t="s">
        <v>69</v>
      </c>
      <c r="I36">
        <v>10</v>
      </c>
    </row>
    <row r="37" spans="4:9" x14ac:dyDescent="0.25">
      <c r="D37" t="s">
        <v>70</v>
      </c>
      <c r="E37">
        <v>7</v>
      </c>
      <c r="F37">
        <v>2</v>
      </c>
      <c r="G37">
        <f>E37+F37</f>
        <v>9</v>
      </c>
      <c r="H37" t="s">
        <v>70</v>
      </c>
      <c r="I37">
        <v>9</v>
      </c>
    </row>
    <row r="38" spans="4:9" x14ac:dyDescent="0.25">
      <c r="D38" t="s">
        <v>241</v>
      </c>
      <c r="E38">
        <v>6</v>
      </c>
      <c r="F38">
        <v>1</v>
      </c>
      <c r="G38">
        <f>E38+F38</f>
        <v>7</v>
      </c>
      <c r="H38" t="s">
        <v>241</v>
      </c>
      <c r="I38">
        <v>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L18"/>
  <sheetViews>
    <sheetView tabSelected="1" zoomScaleNormal="100" workbookViewId="0">
      <selection activeCell="F5" sqref="F5"/>
    </sheetView>
  </sheetViews>
  <sheetFormatPr baseColWidth="10" defaultRowHeight="15.75" x14ac:dyDescent="0.25"/>
  <cols>
    <col min="1" max="1" width="10.7109375" style="106" customWidth="1"/>
    <col min="2" max="2" width="17.7109375" style="96" customWidth="1"/>
    <col min="3" max="4" width="15.7109375" style="96" customWidth="1"/>
    <col min="5" max="6" width="20.7109375" style="96" customWidth="1"/>
    <col min="7" max="7" width="30.7109375" style="96" customWidth="1"/>
    <col min="8" max="8" width="20.7109375" style="96" customWidth="1"/>
    <col min="9" max="10" width="13.7109375" style="96" customWidth="1"/>
    <col min="11" max="11" width="8.7109375" style="96" customWidth="1"/>
    <col min="12" max="13" width="20.7109375" style="96" customWidth="1"/>
    <col min="14" max="14" width="1.7109375" style="96" hidden="1" customWidth="1"/>
    <col min="15" max="15" width="13.7109375" style="96" customWidth="1"/>
    <col min="16" max="16" width="8.7109375" style="96" customWidth="1"/>
    <col min="17" max="17" width="13.7109375" style="96" customWidth="1"/>
    <col min="18" max="18" width="9.7109375" style="96" customWidth="1"/>
    <col min="19" max="19" width="40.7109375" style="96" customWidth="1"/>
    <col min="20" max="20" width="15.7109375" style="96" customWidth="1"/>
    <col min="21" max="26" width="6.7109375" style="96" customWidth="1"/>
    <col min="27" max="27" width="8.7109375" style="96" customWidth="1"/>
    <col min="28" max="33" width="6.7109375" style="96" customWidth="1"/>
    <col min="34" max="34" width="40.7109375" style="96" customWidth="1"/>
    <col min="35" max="36" width="12.7109375" style="96" customWidth="1"/>
    <col min="37" max="38" width="20.7109375" style="96" customWidth="1"/>
    <col min="39" max="16384" width="11.42578125" style="96"/>
  </cols>
  <sheetData>
    <row r="1" spans="1:38" s="84" customFormat="1" ht="50.25" customHeight="1" x14ac:dyDescent="0.25">
      <c r="A1" s="126"/>
      <c r="B1" s="127"/>
      <c r="C1" s="127"/>
      <c r="D1" s="238" t="s">
        <v>503</v>
      </c>
      <c r="E1" s="238" t="s">
        <v>503</v>
      </c>
      <c r="F1" s="238" t="s">
        <v>503</v>
      </c>
      <c r="G1" s="238" t="s">
        <v>503</v>
      </c>
      <c r="H1" s="238" t="s">
        <v>503</v>
      </c>
      <c r="I1" s="238" t="s">
        <v>503</v>
      </c>
      <c r="J1" s="238" t="s">
        <v>503</v>
      </c>
      <c r="K1" s="238" t="s">
        <v>503</v>
      </c>
      <c r="L1" s="238" t="s">
        <v>503</v>
      </c>
      <c r="M1" s="238" t="s">
        <v>503</v>
      </c>
      <c r="N1" s="238" t="s">
        <v>503</v>
      </c>
      <c r="O1" s="238" t="s">
        <v>503</v>
      </c>
      <c r="P1" s="238" t="s">
        <v>503</v>
      </c>
      <c r="Q1" s="238" t="s">
        <v>503</v>
      </c>
      <c r="R1" s="238" t="s">
        <v>503</v>
      </c>
      <c r="S1" s="238" t="s">
        <v>503</v>
      </c>
      <c r="T1" s="238" t="s">
        <v>503</v>
      </c>
      <c r="U1" s="238" t="s">
        <v>503</v>
      </c>
      <c r="V1" s="238" t="s">
        <v>503</v>
      </c>
      <c r="W1" s="238" t="s">
        <v>503</v>
      </c>
      <c r="X1" s="238" t="s">
        <v>503</v>
      </c>
      <c r="Y1" s="238" t="s">
        <v>503</v>
      </c>
      <c r="Z1" s="238" t="s">
        <v>503</v>
      </c>
      <c r="AA1" s="238" t="s">
        <v>503</v>
      </c>
      <c r="AB1" s="238" t="s">
        <v>503</v>
      </c>
      <c r="AC1" s="238" t="s">
        <v>503</v>
      </c>
      <c r="AD1" s="238" t="s">
        <v>503</v>
      </c>
      <c r="AE1" s="238" t="s">
        <v>503</v>
      </c>
      <c r="AF1" s="238" t="s">
        <v>503</v>
      </c>
      <c r="AG1" s="238" t="s">
        <v>503</v>
      </c>
      <c r="AH1" s="238" t="s">
        <v>503</v>
      </c>
      <c r="AI1" s="238" t="s">
        <v>503</v>
      </c>
      <c r="AJ1" s="238" t="s">
        <v>503</v>
      </c>
      <c r="AK1" s="238" t="s">
        <v>503</v>
      </c>
      <c r="AL1" s="238" t="s">
        <v>503</v>
      </c>
    </row>
    <row r="2" spans="1:38" s="84" customFormat="1" ht="15.75" customHeight="1" x14ac:dyDescent="0.25">
      <c r="A2" s="127" t="s">
        <v>123</v>
      </c>
      <c r="B2" s="127" t="s">
        <v>123</v>
      </c>
      <c r="C2" s="127" t="s">
        <v>123</v>
      </c>
      <c r="D2" s="127" t="s">
        <v>123</v>
      </c>
      <c r="E2" s="127" t="s">
        <v>123</v>
      </c>
      <c r="F2" s="127" t="s">
        <v>123</v>
      </c>
      <c r="G2" s="127" t="s">
        <v>123</v>
      </c>
      <c r="H2" s="127" t="s">
        <v>123</v>
      </c>
      <c r="I2" s="127" t="s">
        <v>123</v>
      </c>
      <c r="J2" s="127" t="s">
        <v>124</v>
      </c>
      <c r="K2" s="127" t="s">
        <v>124</v>
      </c>
      <c r="L2" s="127" t="s">
        <v>124</v>
      </c>
      <c r="M2" s="127" t="s">
        <v>124</v>
      </c>
      <c r="N2" s="127" t="s">
        <v>124</v>
      </c>
      <c r="O2" s="127" t="s">
        <v>124</v>
      </c>
      <c r="P2" s="127" t="s">
        <v>124</v>
      </c>
      <c r="Q2" s="127" t="s">
        <v>124</v>
      </c>
      <c r="R2" s="126" t="s">
        <v>125</v>
      </c>
      <c r="S2" s="126" t="s">
        <v>125</v>
      </c>
      <c r="T2" s="126" t="s">
        <v>125</v>
      </c>
      <c r="U2" s="126" t="s">
        <v>125</v>
      </c>
      <c r="V2" s="126" t="s">
        <v>125</v>
      </c>
      <c r="W2" s="126" t="s">
        <v>125</v>
      </c>
      <c r="X2" s="126" t="s">
        <v>125</v>
      </c>
      <c r="Y2" s="126" t="s">
        <v>125</v>
      </c>
      <c r="Z2" s="126" t="s">
        <v>125</v>
      </c>
      <c r="AA2" s="126" t="s">
        <v>126</v>
      </c>
      <c r="AB2" s="126" t="s">
        <v>126</v>
      </c>
      <c r="AC2" s="126" t="s">
        <v>126</v>
      </c>
      <c r="AD2" s="126" t="s">
        <v>126</v>
      </c>
      <c r="AE2" s="126" t="s">
        <v>126</v>
      </c>
      <c r="AF2" s="126" t="s">
        <v>126</v>
      </c>
      <c r="AG2" s="126" t="s">
        <v>126</v>
      </c>
      <c r="AH2" s="124" t="s">
        <v>307</v>
      </c>
      <c r="AI2" s="124" t="s">
        <v>354</v>
      </c>
      <c r="AJ2" s="124" t="s">
        <v>354</v>
      </c>
      <c r="AK2" s="124" t="s">
        <v>36</v>
      </c>
      <c r="AL2" s="124" t="s">
        <v>38</v>
      </c>
    </row>
    <row r="3" spans="1:38" s="84" customFormat="1" ht="16.5" customHeight="1" x14ac:dyDescent="0.25">
      <c r="A3" s="128" t="s">
        <v>353</v>
      </c>
      <c r="B3" s="144" t="s">
        <v>166</v>
      </c>
      <c r="C3" s="126" t="s">
        <v>2</v>
      </c>
      <c r="D3" s="124" t="s">
        <v>363</v>
      </c>
      <c r="E3" s="124" t="s">
        <v>364</v>
      </c>
      <c r="F3" s="124" t="s">
        <v>365</v>
      </c>
      <c r="G3" s="126" t="s">
        <v>369</v>
      </c>
      <c r="H3" s="124" t="s">
        <v>360</v>
      </c>
      <c r="I3" s="124" t="s">
        <v>358</v>
      </c>
      <c r="J3" s="124" t="s">
        <v>32</v>
      </c>
      <c r="K3" s="126" t="s">
        <v>5</v>
      </c>
      <c r="L3" s="124" t="s">
        <v>356</v>
      </c>
      <c r="M3" s="209" t="s">
        <v>371</v>
      </c>
      <c r="N3" s="240" t="s">
        <v>77</v>
      </c>
      <c r="O3" s="124" t="s">
        <v>42</v>
      </c>
      <c r="P3" s="126" t="s">
        <v>5</v>
      </c>
      <c r="Q3" s="124" t="s">
        <v>45</v>
      </c>
      <c r="R3" s="124" t="s">
        <v>404</v>
      </c>
      <c r="S3" s="124" t="s">
        <v>143</v>
      </c>
      <c r="T3" s="124" t="s">
        <v>11</v>
      </c>
      <c r="U3" s="124" t="s">
        <v>7</v>
      </c>
      <c r="V3" s="124" t="s">
        <v>7</v>
      </c>
      <c r="W3" s="124" t="s">
        <v>7</v>
      </c>
      <c r="X3" s="124" t="s">
        <v>7</v>
      </c>
      <c r="Y3" s="124" t="s">
        <v>7</v>
      </c>
      <c r="Z3" s="124" t="s">
        <v>7</v>
      </c>
      <c r="AA3" s="124" t="s">
        <v>7</v>
      </c>
      <c r="AB3" s="124" t="s">
        <v>7</v>
      </c>
      <c r="AC3" s="124" t="s">
        <v>7</v>
      </c>
      <c r="AD3" s="124" t="s">
        <v>7</v>
      </c>
      <c r="AE3" s="124" t="s">
        <v>7</v>
      </c>
      <c r="AF3" s="124" t="s">
        <v>7</v>
      </c>
      <c r="AG3" s="124" t="s">
        <v>7</v>
      </c>
      <c r="AH3" s="124" t="s">
        <v>307</v>
      </c>
      <c r="AI3" s="124" t="s">
        <v>16</v>
      </c>
      <c r="AJ3" s="124" t="s">
        <v>36</v>
      </c>
      <c r="AK3" s="124" t="s">
        <v>36</v>
      </c>
      <c r="AL3" s="124" t="s">
        <v>38</v>
      </c>
    </row>
    <row r="4" spans="1:38" s="85" customFormat="1" ht="105" customHeight="1" x14ac:dyDescent="0.25">
      <c r="A4" s="128" t="s">
        <v>405</v>
      </c>
      <c r="B4" s="144" t="s">
        <v>166</v>
      </c>
      <c r="C4" s="124" t="s">
        <v>362</v>
      </c>
      <c r="D4" s="124" t="s">
        <v>9</v>
      </c>
      <c r="E4" s="124" t="s">
        <v>367</v>
      </c>
      <c r="F4" s="124" t="s">
        <v>366</v>
      </c>
      <c r="G4" s="124" t="s">
        <v>368</v>
      </c>
      <c r="H4" s="124" t="s">
        <v>361</v>
      </c>
      <c r="I4" s="124" t="s">
        <v>359</v>
      </c>
      <c r="J4" s="124" t="s">
        <v>9</v>
      </c>
      <c r="K4" s="126" t="s">
        <v>5</v>
      </c>
      <c r="L4" s="129" t="s">
        <v>4</v>
      </c>
      <c r="M4" s="209" t="s">
        <v>372</v>
      </c>
      <c r="N4" s="240"/>
      <c r="O4" s="124" t="s">
        <v>9</v>
      </c>
      <c r="P4" s="126"/>
      <c r="Q4" s="124" t="s">
        <v>9</v>
      </c>
      <c r="R4" s="124" t="s">
        <v>405</v>
      </c>
      <c r="S4" s="124" t="s">
        <v>355</v>
      </c>
      <c r="T4" s="124" t="s">
        <v>9</v>
      </c>
      <c r="U4" s="125" t="s">
        <v>12</v>
      </c>
      <c r="V4" s="125" t="s">
        <v>16</v>
      </c>
      <c r="W4" s="123" t="s">
        <v>373</v>
      </c>
      <c r="X4" s="125" t="s">
        <v>17</v>
      </c>
      <c r="Y4" s="125" t="s">
        <v>20</v>
      </c>
      <c r="Z4" s="125" t="s">
        <v>23</v>
      </c>
      <c r="AA4" s="123" t="s">
        <v>122</v>
      </c>
      <c r="AB4" s="123" t="s">
        <v>374</v>
      </c>
      <c r="AC4" s="123" t="s">
        <v>5</v>
      </c>
      <c r="AD4" s="123" t="s">
        <v>44</v>
      </c>
      <c r="AE4" s="123" t="s">
        <v>5</v>
      </c>
      <c r="AF4" s="123" t="s">
        <v>46</v>
      </c>
      <c r="AG4" s="123" t="s">
        <v>28</v>
      </c>
      <c r="AH4" s="124" t="s">
        <v>370</v>
      </c>
      <c r="AI4" s="124" t="s">
        <v>357</v>
      </c>
      <c r="AJ4" s="124" t="s">
        <v>357</v>
      </c>
      <c r="AK4" s="124" t="s">
        <v>36</v>
      </c>
      <c r="AL4" s="124" t="s">
        <v>38</v>
      </c>
    </row>
    <row r="5" spans="1:38" ht="99.75" customHeight="1" x14ac:dyDescent="0.25">
      <c r="A5" s="145">
        <v>1</v>
      </c>
      <c r="B5" s="119" t="s">
        <v>273</v>
      </c>
      <c r="C5" s="119" t="s">
        <v>118</v>
      </c>
      <c r="D5" s="140" t="s">
        <v>72</v>
      </c>
      <c r="E5" s="119" t="s">
        <v>317</v>
      </c>
      <c r="F5" s="119" t="s">
        <v>318</v>
      </c>
      <c r="G5" s="119" t="s">
        <v>337</v>
      </c>
      <c r="H5" s="122" t="s">
        <v>108</v>
      </c>
      <c r="I5" s="116">
        <v>37</v>
      </c>
      <c r="J5" s="111" t="str">
        <f t="shared" ref="J5:J17" si="0">IF(I5&lt;=0,"",IF(I5&lt;=2,"Muy Baja",IF(I5&lt;=24,"Baja",IF(I5&lt;=500,"Media",IF(I5&lt;=5000,"Alta","Muy Alta")))))</f>
        <v>Media</v>
      </c>
      <c r="K5" s="112">
        <f t="shared" ref="K5:K17" si="1">IF(J5="","",IF(J5="Muy Baja",0.2,IF(J5="Baja",0.4,IF(J5="Media",0.6,IF(J5="Alta",0.8,IF(J5="Muy Alta",1,))))))</f>
        <v>0.6</v>
      </c>
      <c r="L5" s="112" t="s">
        <v>89</v>
      </c>
      <c r="M5" s="210" t="s">
        <v>135</v>
      </c>
      <c r="N5" s="134" t="str">
        <f>IF(NOT(ISERROR(MATCH(M5,'[3]Tabla Impacto'!$B$221:$B$223,0))),'[3]Tabla Impacto'!$F$223&amp;"Por favor no seleccionar los criterios de impacto(Afectación Económica o presupuestal y Pérdida Reputacional)",M5)</f>
        <v xml:space="preserve">     El riesgo afecta la imagen de alguna área de la organización</v>
      </c>
      <c r="O5" s="111" t="str">
        <f>IF(OR(N5='[3]Tabla Impacto'!$C$11,N5='[3]Tabla Impacto'!$D$11),"Leve",IF(OR(N5='[3]Tabla Impacto'!$C$12,N5='[3]Tabla Impacto'!$D$12),"Menor",IF(OR(N5='[3]Tabla Impacto'!$C$13,N5='[3]Tabla Impacto'!$D$13),"Moderado",IF(OR(N5='[3]Tabla Impacto'!$C$14,N5='[3]Tabla Impacto'!$D$14),"Mayor",IF(OR(N5='[3]Tabla Impacto'!$C$15,N5='[3]Tabla Impacto'!$D$15),"Catastrófico","")))))</f>
        <v>Leve</v>
      </c>
      <c r="P5" s="112">
        <f>IF(O5="","",IF(O5="Leve",0.2,IF(O5="Menor",0.4,IF(O5="Moderado",0.6,IF(O5="Mayor",0.8,IF(O5="Catastrófico",1,))))))</f>
        <v>0.2</v>
      </c>
      <c r="Q5" s="113" t="str">
        <f>IF(OR(AND(J5="Muy Baja",O5="Leve"),AND(J5="Muy Baja",O5="Menor"),AND(J5="Baja",O5="Leve")),"Bajo",IF(OR(AND(J5="Muy baja",O5="Moderado"),AND(J5="Baja",O5="Menor"),AND(J5="Baja",O5="Moderado"),AND(J5="Media",O5="Leve"),AND(J5="Media",O5="Menor"),AND(J5="Media",O5="Moderado"),AND(J5="Alta",O5="Leve"),AND(J5="Alta",O5="Menor")),"Moderado",IF(OR(AND(J5="Muy Baja",O5="Mayor"),AND(J5="Baja",O5="Mayor"),AND(J5="Media",O5="Mayor"),AND(J5="Alta",O5="Moderado"),AND(J5="Alta",O5="Mayor"),AND(J5="Muy Alta",O5="Leve"),AND(J5="Muy Alta",O5="Menor"),AND(J5="Muy Alta",O5="Moderado"),AND(J5="Muy Alta",O5="Mayor")),"Alto",IF(OR(AND(J5="Muy Baja",O5="Catastrófico"),AND(J5="Baja",O5="Catastrófico"),AND(J5="Media",O5="Catastrófico"),AND(J5="Alta",O5="Catastrófico"),AND(J5="Muy Alta",O5="Catastrófico")),"Extremo",""))))</f>
        <v>Moderado</v>
      </c>
      <c r="R5" s="87">
        <v>1</v>
      </c>
      <c r="S5" s="119" t="s">
        <v>344</v>
      </c>
      <c r="T5" s="88" t="str">
        <f>IF(OR(U5="Preventivo",U5="Detectivo"),"Probabilidad",IF(U5="Correctivo","Impacto",""))</f>
        <v>Probabilidad</v>
      </c>
      <c r="U5" s="89" t="s">
        <v>13</v>
      </c>
      <c r="V5" s="89" t="s">
        <v>8</v>
      </c>
      <c r="W5" s="90" t="str">
        <f>IF(AND(U5="Preventivo",V5="Automático"),"50%",IF(AND(U5="Preventivo",V5="Manual"),"40%",IF(AND(U5="Detectivo",V5="Automático"),"40%",IF(AND(U5="Detectivo",V5="Manual"),"30%",IF(AND(U5="Correctivo",V5="Automático"),"35%",IF(AND(U5="Correctivo",V5="Manual"),"25%",""))))))</f>
        <v>40%</v>
      </c>
      <c r="X5" s="89" t="s">
        <v>18</v>
      </c>
      <c r="Y5" s="89" t="s">
        <v>21</v>
      </c>
      <c r="Z5" s="89" t="s">
        <v>104</v>
      </c>
      <c r="AA5" s="91">
        <f>IFERROR(IF(T5="Probabilidad",(K5-(+K5*W5)),IF(T5="Impacto",K5,"")),"")</f>
        <v>0.36</v>
      </c>
      <c r="AB5" s="92" t="str">
        <f>IFERROR(IF(AA5="","",IF(AA5&lt;=0.2,"Muy Baja",IF(AA5&lt;=0.4,"Baja",IF(AA5&lt;=0.6,"Media",IF(AA5&lt;=0.8,"Alta","Muy Alta"))))),"")</f>
        <v>Baja</v>
      </c>
      <c r="AC5" s="90">
        <f>+AA5</f>
        <v>0.36</v>
      </c>
      <c r="AD5" s="92" t="str">
        <f>IFERROR(IF(AE5="","",IF(AE5&lt;=0.2,"Leve",IF(AE5&lt;=0.4,"Menor",IF(AE5&lt;=0.6,"Moderado",IF(AE5&lt;=0.8,"Mayor","Catastrófico"))))),"")</f>
        <v>Leve</v>
      </c>
      <c r="AE5" s="90">
        <f>IFERROR(IF(T5="Impacto",(P5-(+P5*W5)),IF(T5="Probabilidad",P5,"")),"")</f>
        <v>0.2</v>
      </c>
      <c r="AF5" s="93" t="str">
        <f>IFERROR(IF(OR(AND(AB5="Muy Baja",AD5="Leve"),AND(AB5="Muy Baja",AD5="Menor"),AND(AB5="Baja",AD5="Leve")),"Bajo",IF(OR(AND(AB5="Muy baja",AD5="Moderado"),AND(AB5="Baja",AD5="Menor"),AND(AB5="Baja",AD5="Moderado"),AND(AB5="Media",AD5="Leve"),AND(AB5="Media",AD5="Menor"),AND(AB5="Media",AD5="Moderado"),AND(AB5="Alta",AD5="Leve"),AND(AB5="Alta",AD5="Menor")),"Moderado",IF(OR(AND(AB5="Muy Baja",AD5="Mayor"),AND(AB5="Baja",AD5="Mayor"),AND(AB5="Media",AD5="Mayor"),AND(AB5="Alta",AD5="Moderado"),AND(AB5="Alta",AD5="Mayor"),AND(AB5="Muy Alta",AD5="Leve"),AND(AB5="Muy Alta",AD5="Menor"),AND(AB5="Muy Alta",AD5="Moderado"),AND(AB5="Muy Alta",AD5="Mayor")),"Alto",IF(OR(AND(AB5="Muy Baja",AD5="Catastrófico"),AND(AB5="Baja",AD5="Catastrófico"),AND(AB5="Media",AD5="Catastrófico"),AND(AB5="Alta",AD5="Catastrófico"),AND(AB5="Muy Alta",AD5="Catastrófico")),"Extremo","")))),"")</f>
        <v>Bajo</v>
      </c>
      <c r="AG5" s="94" t="s">
        <v>120</v>
      </c>
      <c r="AH5" s="119" t="s">
        <v>414</v>
      </c>
      <c r="AI5" s="95">
        <v>44593</v>
      </c>
      <c r="AJ5" s="95">
        <v>44926</v>
      </c>
      <c r="AK5" s="119" t="s">
        <v>40</v>
      </c>
      <c r="AL5" s="119" t="s">
        <v>40</v>
      </c>
    </row>
    <row r="6" spans="1:38" ht="99.95" customHeight="1" x14ac:dyDescent="0.25">
      <c r="A6" s="145">
        <v>2</v>
      </c>
      <c r="B6" s="146" t="s">
        <v>284</v>
      </c>
      <c r="C6" s="119" t="s">
        <v>118</v>
      </c>
      <c r="D6" s="140" t="s">
        <v>72</v>
      </c>
      <c r="E6" s="107" t="s">
        <v>325</v>
      </c>
      <c r="F6" s="107" t="s">
        <v>326</v>
      </c>
      <c r="G6" s="109" t="s">
        <v>338</v>
      </c>
      <c r="H6" s="107" t="s">
        <v>108</v>
      </c>
      <c r="I6" s="130">
        <v>6</v>
      </c>
      <c r="J6" s="131" t="str">
        <f t="shared" si="0"/>
        <v>Baja</v>
      </c>
      <c r="K6" s="117">
        <f t="shared" si="1"/>
        <v>0.4</v>
      </c>
      <c r="L6" s="117" t="s">
        <v>88</v>
      </c>
      <c r="M6" s="211" t="s">
        <v>138</v>
      </c>
      <c r="N6" s="134" t="str">
        <f>IF(NOT(ISERROR(MATCH(M6,'[3]Tabla Impacto'!$B$221:$B$223,0))),'[3]Tabla Impacto'!$F$223&amp;"Por favor no seleccionar los criterios de impacto(Afectación Económica o presupuestal y Pérdida Reputacional)",M6)</f>
        <v xml:space="preserve">     El riesgo afecta la imagen de de la entidad con efecto publicitario sostenido a nivel de sector administrativo, nivel departamental o municipal</v>
      </c>
      <c r="O6" s="131" t="str">
        <f>IF(OR(N6='[3]Tabla Impacto'!$C$11,N6='[3]Tabla Impacto'!$D$11),"Leve",IF(OR(N6='[3]Tabla Impacto'!$C$12,N6='[3]Tabla Impacto'!$D$12),"Menor",IF(OR(N6='[3]Tabla Impacto'!$C$13,N6='[3]Tabla Impacto'!$D$13),"Moderado",IF(OR(N6='[3]Tabla Impacto'!$C$14,N6='[3]Tabla Impacto'!$D$14),"Mayor",IF(OR(N6='[3]Tabla Impacto'!$C$15,N6='[3]Tabla Impacto'!$D$15),"Catastrófico","")))))</f>
        <v>Mayor</v>
      </c>
      <c r="P6" s="112">
        <f>IF(O6="","",IF(O6="Leve",0.2,IF(O6="Menor",0.4,IF(O6="Moderado",0.6,IF(O6="Mayor",0.8,IF(O6="Catastrófico",1,))))))</f>
        <v>0.8</v>
      </c>
      <c r="Q6" s="113" t="str">
        <f>IF(OR(AND(J6="Muy Baja",O6="Leve"),AND(J6="Muy Baja",O6="Menor"),AND(J6="Baja",O6="Leve")),"Bajo",IF(OR(AND(J6="Muy baja",O6="Moderado"),AND(J6="Baja",O6="Menor"),AND(J6="Baja",O6="Moderado"),AND(J6="Media",O6="Leve"),AND(J6="Media",O6="Menor"),AND(J6="Media",O6="Moderado"),AND(J6="Alta",O6="Leve"),AND(J6="Alta",O6="Menor")),"Moderado",IF(OR(AND(J6="Muy Baja",O6="Mayor"),AND(J6="Baja",O6="Mayor"),AND(J6="Media",O6="Mayor"),AND(J6="Alta",O6="Moderado"),AND(J6="Alta",O6="Mayor"),AND(J6="Muy Alta",O6="Leve"),AND(J6="Muy Alta",O6="Menor"),AND(J6="Muy Alta",O6="Moderado"),AND(J6="Muy Alta",O6="Mayor")),"Alto",IF(OR(AND(J6="Muy Baja",O6="Catastrófico"),AND(J6="Baja",O6="Catastrófico"),AND(J6="Media",O6="Catastrófico"),AND(J6="Alta",O6="Catastrófico"),AND(J6="Muy Alta",O6="Catastrófico")),"Extremo",""))))</f>
        <v>Alto</v>
      </c>
      <c r="R6" s="87">
        <v>1</v>
      </c>
      <c r="S6" s="86" t="s">
        <v>330</v>
      </c>
      <c r="T6" s="88" t="str">
        <f>IF(OR(U6="Preventivo",U6="Detectivo"),"Probabilidad",IF(U6="Correctivo","Impacto",""))</f>
        <v>Probabilidad</v>
      </c>
      <c r="U6" s="89" t="s">
        <v>13</v>
      </c>
      <c r="V6" s="89" t="s">
        <v>8</v>
      </c>
      <c r="W6" s="90" t="str">
        <f>IF(AND(U6="Preventivo",V6="Automático"),"50%",IF(AND(U6="Preventivo",V6="Manual"),"40%",IF(AND(U6="Detectivo",V6="Automático"),"40%",IF(AND(U6="Detectivo",V6="Manual"),"30%",IF(AND(U6="Correctivo",V6="Automático"),"35%",IF(AND(U6="Correctivo",V6="Manual"),"25%",""))))))</f>
        <v>40%</v>
      </c>
      <c r="X6" s="89" t="s">
        <v>18</v>
      </c>
      <c r="Y6" s="89" t="s">
        <v>21</v>
      </c>
      <c r="Z6" s="89" t="s">
        <v>104</v>
      </c>
      <c r="AA6" s="91">
        <f>IFERROR(IF(T6="Probabilidad",(K6-(+K6*W6)),IF(T6="Impacto",K6,"")),"")</f>
        <v>0.24</v>
      </c>
      <c r="AB6" s="92" t="str">
        <f>IFERROR(IF(AA6="","",IF(AA6&lt;=0.2,"Muy Baja",IF(AA6&lt;=0.4,"Baja",IF(AA6&lt;=0.6,"Media",IF(AA6&lt;=0.8,"Alta","Muy Alta"))))),"")</f>
        <v>Baja</v>
      </c>
      <c r="AC6" s="90">
        <f>+AA6</f>
        <v>0.24</v>
      </c>
      <c r="AD6" s="92" t="str">
        <f>IFERROR(IF(AE6="","",IF(AE6&lt;=0.2,"Leve",IF(AE6&lt;=0.4,"Menor",IF(AE6&lt;=0.6,"Moderado",IF(AE6&lt;=0.8,"Mayor","Catastrófico"))))),"")</f>
        <v>Mayor</v>
      </c>
      <c r="AE6" s="90">
        <f>IFERROR(IF(T6="Impacto",(P6-(+P6*W6)),IF(T6="Probabilidad",P6,"")),"")</f>
        <v>0.8</v>
      </c>
      <c r="AF6" s="93" t="str">
        <f>IFERROR(IF(OR(AND(AB6="Muy Baja",AD6="Leve"),AND(AB6="Muy Baja",AD6="Menor"),AND(AB6="Baja",AD6="Leve")),"Bajo",IF(OR(AND(AB6="Muy baja",AD6="Moderado"),AND(AB6="Baja",AD6="Menor"),AND(AB6="Baja",AD6="Moderado"),AND(AB6="Media",AD6="Leve"),AND(AB6="Media",AD6="Menor"),AND(AB6="Media",AD6="Moderado"),AND(AB6="Alta",AD6="Leve"),AND(AB6="Alta",AD6="Menor")),"Moderado",IF(OR(AND(AB6="Muy Baja",AD6="Mayor"),AND(AB6="Baja",AD6="Mayor"),AND(AB6="Media",AD6="Mayor"),AND(AB6="Alta",AD6="Moderado"),AND(AB6="Alta",AD6="Mayor"),AND(AB6="Muy Alta",AD6="Leve"),AND(AB6="Muy Alta",AD6="Menor"),AND(AB6="Muy Alta",AD6="Moderado"),AND(AB6="Muy Alta",AD6="Mayor")),"Alto",IF(OR(AND(AB6="Muy Baja",AD6="Catastrófico"),AND(AB6="Baja",AD6="Catastrófico"),AND(AB6="Media",AD6="Catastrófico"),AND(AB6="Alta",AD6="Catastrófico"),AND(AB6="Muy Alta",AD6="Catastrófico")),"Extremo","")))),"")</f>
        <v>Alto</v>
      </c>
      <c r="AG6" s="94" t="s">
        <v>120</v>
      </c>
      <c r="AH6" s="107" t="s">
        <v>334</v>
      </c>
      <c r="AI6" s="108">
        <v>44593</v>
      </c>
      <c r="AJ6" s="108">
        <v>44926</v>
      </c>
      <c r="AK6" s="119" t="s">
        <v>40</v>
      </c>
      <c r="AL6" s="119" t="s">
        <v>40</v>
      </c>
    </row>
    <row r="7" spans="1:38" ht="99.95" customHeight="1" x14ac:dyDescent="0.25">
      <c r="A7" s="145">
        <v>2</v>
      </c>
      <c r="B7" s="146" t="s">
        <v>284</v>
      </c>
      <c r="C7" s="119" t="s">
        <v>118</v>
      </c>
      <c r="D7" s="140" t="s">
        <v>72</v>
      </c>
      <c r="E7" s="107" t="s">
        <v>325</v>
      </c>
      <c r="F7" s="107" t="s">
        <v>326</v>
      </c>
      <c r="G7" s="109" t="s">
        <v>338</v>
      </c>
      <c r="H7" s="122" t="s">
        <v>108</v>
      </c>
      <c r="I7" s="130">
        <v>6</v>
      </c>
      <c r="J7" s="131" t="str">
        <f t="shared" si="0"/>
        <v>Baja</v>
      </c>
      <c r="K7" s="117">
        <f t="shared" si="1"/>
        <v>0.4</v>
      </c>
      <c r="L7" s="117" t="s">
        <v>88</v>
      </c>
      <c r="M7" s="118" t="s">
        <v>138</v>
      </c>
      <c r="N7" s="134"/>
      <c r="O7" s="131"/>
      <c r="P7" s="134"/>
      <c r="Q7" s="113"/>
      <c r="R7" s="87">
        <v>2</v>
      </c>
      <c r="S7" s="86" t="s">
        <v>331</v>
      </c>
      <c r="T7" s="88" t="str">
        <f>IF(OR(U7="Preventivo",U7="Detectivo"),"Probabilidad",IF(U7="Correctivo","Impacto",""))</f>
        <v>Probabilidad</v>
      </c>
      <c r="U7" s="89" t="s">
        <v>13</v>
      </c>
      <c r="V7" s="89" t="s">
        <v>8</v>
      </c>
      <c r="W7" s="90" t="str">
        <f t="shared" ref="W7:W9" si="2">IF(AND(U7="Preventivo",V7="Automático"),"50%",IF(AND(U7="Preventivo",V7="Manual"),"40%",IF(AND(U7="Detectivo",V7="Automático"),"40%",IF(AND(U7="Detectivo",V7="Manual"),"30%",IF(AND(U7="Correctivo",V7="Automático"),"35%",IF(AND(U7="Correctivo",V7="Manual"),"25%",""))))))</f>
        <v>40%</v>
      </c>
      <c r="X7" s="89" t="s">
        <v>18</v>
      </c>
      <c r="Y7" s="89" t="s">
        <v>21</v>
      </c>
      <c r="Z7" s="89" t="s">
        <v>104</v>
      </c>
      <c r="AA7" s="91">
        <f>IFERROR(IF(AND(T6="Probabilidad",T7="Probabilidad"),(AC6-(+AC6*W7)),IF(T7="Probabilidad",(K6-(+K6*W7)),IF(T7="Impacto",AC6,""))),"")</f>
        <v>0.14399999999999999</v>
      </c>
      <c r="AB7" s="92" t="str">
        <f t="shared" ref="AB7:AB15" si="3">IFERROR(IF(AA7="","",IF(AA7&lt;=0.2,"Muy Baja",IF(AA7&lt;=0.4,"Baja",IF(AA7&lt;=0.6,"Media",IF(AA7&lt;=0.8,"Alta","Muy Alta"))))),"")</f>
        <v>Muy Baja</v>
      </c>
      <c r="AC7" s="90">
        <f t="shared" ref="AC7:AC9" si="4">+AA7</f>
        <v>0.14399999999999999</v>
      </c>
      <c r="AD7" s="92" t="str">
        <f t="shared" ref="AD7:AD9" si="5">IFERROR(IF(AE7="","",IF(AE7&lt;=0.2,"Leve",IF(AE7&lt;=0.4,"Menor",IF(AE7&lt;=0.6,"Moderado",IF(AE7&lt;=0.8,"Mayor","Catastrófico"))))),"")</f>
        <v>Mayor</v>
      </c>
      <c r="AE7" s="90">
        <f>IFERROR(IF(AND(T6="Impacto",T7="Impacto"),(AE6-(+AE6*W7)),IF(T7="Impacto",($P$6-(+$P$6*W7)),IF(T7="Probabilidad",AE6,""))),"")</f>
        <v>0.8</v>
      </c>
      <c r="AF7" s="93" t="str">
        <f t="shared" ref="AF7:AF8" si="6">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Alto</v>
      </c>
      <c r="AG7" s="94" t="s">
        <v>120</v>
      </c>
      <c r="AH7" s="107" t="s">
        <v>334</v>
      </c>
      <c r="AI7" s="108">
        <v>44593</v>
      </c>
      <c r="AJ7" s="108">
        <v>44926</v>
      </c>
      <c r="AK7" s="119" t="s">
        <v>40</v>
      </c>
      <c r="AL7" s="119" t="s">
        <v>40</v>
      </c>
    </row>
    <row r="8" spans="1:38" ht="99.95" customHeight="1" x14ac:dyDescent="0.25">
      <c r="A8" s="145">
        <v>2</v>
      </c>
      <c r="B8" s="146" t="s">
        <v>284</v>
      </c>
      <c r="C8" s="119" t="s">
        <v>118</v>
      </c>
      <c r="D8" s="140" t="s">
        <v>72</v>
      </c>
      <c r="E8" s="107" t="s">
        <v>325</v>
      </c>
      <c r="F8" s="107" t="s">
        <v>326</v>
      </c>
      <c r="G8" s="109" t="s">
        <v>338</v>
      </c>
      <c r="H8" s="122" t="s">
        <v>108</v>
      </c>
      <c r="I8" s="130">
        <v>6</v>
      </c>
      <c r="J8" s="131" t="str">
        <f t="shared" si="0"/>
        <v>Baja</v>
      </c>
      <c r="K8" s="117">
        <f t="shared" si="1"/>
        <v>0.4</v>
      </c>
      <c r="L8" s="117" t="s">
        <v>88</v>
      </c>
      <c r="M8" s="118" t="s">
        <v>138</v>
      </c>
      <c r="N8" s="134"/>
      <c r="O8" s="111"/>
      <c r="P8" s="112"/>
      <c r="Q8" s="113"/>
      <c r="R8" s="87">
        <v>3</v>
      </c>
      <c r="S8" s="122" t="s">
        <v>332</v>
      </c>
      <c r="T8" s="88" t="str">
        <f>IF(OR(U8="Preventivo",U8="Detectivo"),"Probabilidad",IF(U8="Correctivo","Impacto",""))</f>
        <v>Probabilidad</v>
      </c>
      <c r="U8" s="89" t="s">
        <v>13</v>
      </c>
      <c r="V8" s="89" t="s">
        <v>8</v>
      </c>
      <c r="W8" s="90" t="str">
        <f t="shared" si="2"/>
        <v>40%</v>
      </c>
      <c r="X8" s="89" t="s">
        <v>18</v>
      </c>
      <c r="Y8" s="89" t="s">
        <v>21</v>
      </c>
      <c r="Z8" s="89" t="s">
        <v>104</v>
      </c>
      <c r="AA8" s="91">
        <f>IFERROR(IF(AND(T7="Probabilidad",T8="Probabilidad"),(AC7-(+AC7*W8)),IF(AND(T7="Impacto",T8="Probabilidad"),(AC6-(+AC6*W8)),IF(T8="Impacto",AC7,""))),"")</f>
        <v>8.6399999999999991E-2</v>
      </c>
      <c r="AB8" s="92" t="str">
        <f t="shared" si="3"/>
        <v>Muy Baja</v>
      </c>
      <c r="AC8" s="90">
        <f t="shared" si="4"/>
        <v>8.6399999999999991E-2</v>
      </c>
      <c r="AD8" s="92" t="str">
        <f t="shared" si="5"/>
        <v>Mayor</v>
      </c>
      <c r="AE8" s="90">
        <f>IFERROR(IF(AND(T7="Impacto",T8="Impacto"),(AE7-(+AE7*W8)),IF(AND(T7="Probabilidad",T8="Impacto"),(AE6-(+AE6*W8)),IF(T8="Probabilidad",AE7,""))),"")</f>
        <v>0.8</v>
      </c>
      <c r="AF8" s="93" t="str">
        <f t="shared" si="6"/>
        <v>Alto</v>
      </c>
      <c r="AG8" s="94" t="s">
        <v>120</v>
      </c>
      <c r="AH8" s="107" t="s">
        <v>334</v>
      </c>
      <c r="AI8" s="108">
        <v>44593</v>
      </c>
      <c r="AJ8" s="108">
        <v>44926</v>
      </c>
      <c r="AK8" s="119" t="s">
        <v>40</v>
      </c>
      <c r="AL8" s="119" t="s">
        <v>40</v>
      </c>
    </row>
    <row r="9" spans="1:38" ht="99.95" customHeight="1" x14ac:dyDescent="0.25">
      <c r="A9" s="145">
        <v>2</v>
      </c>
      <c r="B9" s="146" t="s">
        <v>284</v>
      </c>
      <c r="C9" s="119" t="s">
        <v>118</v>
      </c>
      <c r="D9" s="140" t="s">
        <v>72</v>
      </c>
      <c r="E9" s="107" t="s">
        <v>325</v>
      </c>
      <c r="F9" s="107" t="s">
        <v>326</v>
      </c>
      <c r="G9" s="109" t="s">
        <v>338</v>
      </c>
      <c r="H9" s="122" t="s">
        <v>108</v>
      </c>
      <c r="I9" s="130">
        <v>6</v>
      </c>
      <c r="J9" s="131" t="str">
        <f t="shared" si="0"/>
        <v>Baja</v>
      </c>
      <c r="K9" s="117">
        <f t="shared" si="1"/>
        <v>0.4</v>
      </c>
      <c r="L9" s="117" t="s">
        <v>88</v>
      </c>
      <c r="M9" s="118" t="s">
        <v>138</v>
      </c>
      <c r="N9" s="112"/>
      <c r="O9" s="111"/>
      <c r="P9" s="112"/>
      <c r="Q9" s="113"/>
      <c r="R9" s="87">
        <v>4</v>
      </c>
      <c r="S9" s="122" t="s">
        <v>333</v>
      </c>
      <c r="T9" s="88" t="str">
        <f t="shared" ref="T9" si="7">IF(OR(U9="Preventivo",U9="Detectivo"),"Probabilidad",IF(U9="Correctivo","Impacto",""))</f>
        <v>Probabilidad</v>
      </c>
      <c r="U9" s="89" t="s">
        <v>13</v>
      </c>
      <c r="V9" s="89" t="s">
        <v>8</v>
      </c>
      <c r="W9" s="90" t="str">
        <f t="shared" si="2"/>
        <v>40%</v>
      </c>
      <c r="X9" s="89" t="s">
        <v>18</v>
      </c>
      <c r="Y9" s="89" t="s">
        <v>21</v>
      </c>
      <c r="Z9" s="89" t="s">
        <v>104</v>
      </c>
      <c r="AA9" s="91">
        <f t="shared" ref="AA9" si="8">IFERROR(IF(AND(T8="Probabilidad",T9="Probabilidad"),(AC8-(+AC8*W9)),IF(AND(T8="Impacto",T9="Probabilidad"),(AC7-(+AC7*W9)),IF(T9="Impacto",AC8,""))),"")</f>
        <v>5.183999999999999E-2</v>
      </c>
      <c r="AB9" s="92" t="str">
        <f t="shared" si="3"/>
        <v>Muy Baja</v>
      </c>
      <c r="AC9" s="90">
        <f t="shared" si="4"/>
        <v>5.183999999999999E-2</v>
      </c>
      <c r="AD9" s="92" t="str">
        <f t="shared" si="5"/>
        <v>Mayor</v>
      </c>
      <c r="AE9" s="90">
        <f t="shared" ref="AE9" si="9">IFERROR(IF(AND(T8="Impacto",T9="Impacto"),(AE8-(+AE8*W9)),IF(AND(T8="Probabilidad",T9="Impacto"),(AE7-(+AE7*W9)),IF(T9="Probabilidad",AE8,""))),"")</f>
        <v>0.8</v>
      </c>
      <c r="AF9" s="93"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Alto</v>
      </c>
      <c r="AG9" s="94" t="s">
        <v>120</v>
      </c>
      <c r="AH9" s="107" t="s">
        <v>334</v>
      </c>
      <c r="AI9" s="108">
        <v>44593</v>
      </c>
      <c r="AJ9" s="108">
        <v>44926</v>
      </c>
      <c r="AK9" s="119" t="s">
        <v>40</v>
      </c>
      <c r="AL9" s="119" t="s">
        <v>40</v>
      </c>
    </row>
    <row r="10" spans="1:38" ht="99.95" customHeight="1" x14ac:dyDescent="0.25">
      <c r="A10" s="145">
        <v>3</v>
      </c>
      <c r="B10" s="146" t="s">
        <v>286</v>
      </c>
      <c r="C10" s="119" t="s">
        <v>118</v>
      </c>
      <c r="D10" s="110" t="s">
        <v>72</v>
      </c>
      <c r="E10" s="119" t="s">
        <v>319</v>
      </c>
      <c r="F10" s="119" t="s">
        <v>320</v>
      </c>
      <c r="G10" s="119" t="s">
        <v>339</v>
      </c>
      <c r="H10" s="119" t="s">
        <v>108</v>
      </c>
      <c r="I10" s="119">
        <v>140</v>
      </c>
      <c r="J10" s="120" t="str">
        <f t="shared" si="0"/>
        <v>Media</v>
      </c>
      <c r="K10" s="121">
        <f t="shared" si="1"/>
        <v>0.6</v>
      </c>
      <c r="L10" s="121" t="s">
        <v>89</v>
      </c>
      <c r="M10" s="141" t="s">
        <v>137</v>
      </c>
      <c r="N10" s="121" t="str">
        <f>IF(NOT(ISERROR(MATCH(M10,'[3]Tabla Impacto'!$B$221:$B$223,0))),'[3]Tabla Impacto'!$F$223&amp;"Por favor no seleccionar los criterios de impacto(Afectación Económica o presupuestal y Pérdida Reputacional)",M10)</f>
        <v xml:space="preserve">     El riesgo afecta la imagen de la entidad con algunos usuarios de relevancia frente al logro de los objetivos</v>
      </c>
      <c r="O10" s="120"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 s="121">
        <f>IF(O10="","",IF(O10="Leve",0.2,IF(O10="Menor",0.4,IF(O10="Moderado",0.6,IF(O10="Mayor",0.8,IF(O10="Catastrófico",1,))))))</f>
        <v>0.6</v>
      </c>
      <c r="Q10" s="114" t="str">
        <f>IF(OR(AND(J10="Muy Baja",O10="Leve"),AND(J10="Muy Baja",O10="Menor"),AND(J10="Baja",O10="Leve")),"Bajo",IF(OR(AND(J10="Muy baja",O10="Moderado"),AND(J10="Baja",O10="Menor"),AND(J10="Baja",O10="Moderado"),AND(J10="Media",O10="Leve"),AND(J10="Media",O10="Menor"),AND(J10="Media",O10="Moderado"),AND(J10="Alta",O10="Leve"),AND(J10="Alta",O10="Menor")),"Moderado",IF(OR(AND(J10="Muy Baja",O10="Mayor"),AND(J10="Baja",O10="Mayor"),AND(J10="Media",O10="Mayor"),AND(J10="Alta",O10="Moderado"),AND(J10="Alta",O10="Mayor"),AND(J10="Muy Alta",O10="Leve"),AND(J10="Muy Alta",O10="Menor"),AND(J10="Muy Alta",O10="Moderado"),AND(J10="Muy Alta",O10="Mayor")),"Alto",IF(OR(AND(J10="Muy Baja",O10="Catastrófico"),AND(J10="Baja",O10="Catastrófico"),AND(J10="Media",O10="Catastrófico"),AND(J10="Alta",O10="Catastrófico"),AND(J10="Muy Alta",O10="Catastrófico")),"Extremo",""))))</f>
        <v>Moderado</v>
      </c>
      <c r="R10" s="97">
        <v>1</v>
      </c>
      <c r="S10" s="119" t="s">
        <v>321</v>
      </c>
      <c r="T10" s="98" t="str">
        <f>IF(OR(U10="Preventivo",U10="Detectivo"),"Probabilidad",IF(U10="Correctivo","Impacto",""))</f>
        <v>Probabilidad</v>
      </c>
      <c r="U10" s="89" t="s">
        <v>13</v>
      </c>
      <c r="V10" s="89" t="s">
        <v>8</v>
      </c>
      <c r="W10" s="121" t="str">
        <f>IF(AND(U10="Preventivo",V10="Automático"),"50%",IF(AND(U10="Preventivo",V10="Manual"),"40%",IF(AND(U10="Detectivo",V10="Automático"),"40%",IF(AND(U10="Detectivo",V10="Manual"),"30%",IF(AND(U10="Correctivo",V10="Automático"),"35%",IF(AND(U10="Correctivo",V10="Manual"),"25%",""))))))</f>
        <v>40%</v>
      </c>
      <c r="X10" s="89" t="s">
        <v>18</v>
      </c>
      <c r="Y10" s="89" t="s">
        <v>21</v>
      </c>
      <c r="Z10" s="89" t="s">
        <v>104</v>
      </c>
      <c r="AA10" s="99">
        <f>IFERROR(IF(T10="Probabilidad",(K10-(+K10*W10)),IF(T10="Impacto",K10,"")),"")</f>
        <v>0.36</v>
      </c>
      <c r="AB10" s="100" t="str">
        <f>IFERROR(IF(AA10="","",IF(AA10&lt;=0.2,"Muy Baja",IF(AA10&lt;=0.4,"Baja",IF(AA10&lt;=0.6,"Media",IF(AA10&lt;=0.8,"Alta","Muy Alta"))))),"")</f>
        <v>Baja</v>
      </c>
      <c r="AC10" s="121">
        <f>+AA10</f>
        <v>0.36</v>
      </c>
      <c r="AD10" s="100" t="str">
        <f>IFERROR(IF(AE10="","",IF(AE10&lt;=0.2,"Leve",IF(AE10&lt;=0.4,"Menor",IF(AE10&lt;=0.6,"Moderado",IF(AE10&lt;=0.8,"Mayor","Catastrófico"))))),"")</f>
        <v>Moderado</v>
      </c>
      <c r="AE10" s="121">
        <f>IFERROR(IF(T10="Impacto",(P10-(+P10*W10)),IF(T10="Probabilidad",P10,"")),"")</f>
        <v>0.6</v>
      </c>
      <c r="AF10" s="101"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89" t="s">
        <v>120</v>
      </c>
      <c r="AH10" s="119" t="s">
        <v>415</v>
      </c>
      <c r="AI10" s="142">
        <v>44593</v>
      </c>
      <c r="AJ10" s="95">
        <v>44926</v>
      </c>
      <c r="AK10" s="119" t="s">
        <v>40</v>
      </c>
      <c r="AL10" s="119" t="s">
        <v>40</v>
      </c>
    </row>
    <row r="11" spans="1:38" ht="99.95" customHeight="1" x14ac:dyDescent="0.25">
      <c r="A11" s="145">
        <v>3</v>
      </c>
      <c r="B11" s="146" t="s">
        <v>286</v>
      </c>
      <c r="C11" s="119" t="s">
        <v>118</v>
      </c>
      <c r="D11" s="110" t="s">
        <v>72</v>
      </c>
      <c r="E11" s="119" t="s">
        <v>319</v>
      </c>
      <c r="F11" s="119" t="s">
        <v>320</v>
      </c>
      <c r="G11" s="119" t="s">
        <v>339</v>
      </c>
      <c r="H11" s="119" t="s">
        <v>108</v>
      </c>
      <c r="I11" s="119">
        <v>140</v>
      </c>
      <c r="J11" s="120" t="str">
        <f t="shared" si="0"/>
        <v>Media</v>
      </c>
      <c r="K11" s="121">
        <f t="shared" si="1"/>
        <v>0.6</v>
      </c>
      <c r="L11" s="121" t="s">
        <v>89</v>
      </c>
      <c r="M11" s="141" t="s">
        <v>137</v>
      </c>
      <c r="N11" s="121" t="str">
        <f ca="1">IF(NOT(ISERROR(MATCH(M11,_xlfn.ANCHORARRAY(G18),0))),#REF!&amp;"Por favor no seleccionar los criterios de impacto",M11)</f>
        <v xml:space="preserve">     El riesgo afecta la imagen de la entidad con algunos usuarios de relevancia frente al logro de los objetivos</v>
      </c>
      <c r="O11" s="120"/>
      <c r="P11" s="121"/>
      <c r="Q11" s="114"/>
      <c r="R11" s="97">
        <v>2</v>
      </c>
      <c r="S11" s="119" t="s">
        <v>323</v>
      </c>
      <c r="T11" s="98" t="str">
        <f>IF(OR(U11="Preventivo",U11="Detectivo"),"Probabilidad",IF(U11="Correctivo","Impacto",""))</f>
        <v>Probabilidad</v>
      </c>
      <c r="U11" s="89" t="s">
        <v>13</v>
      </c>
      <c r="V11" s="89" t="s">
        <v>8</v>
      </c>
      <c r="W11" s="121" t="str">
        <f t="shared" ref="W11:W17" si="10">IF(AND(U11="Preventivo",V11="Automático"),"50%",IF(AND(U11="Preventivo",V11="Manual"),"40%",IF(AND(U11="Detectivo",V11="Automático"),"40%",IF(AND(U11="Detectivo",V11="Manual"),"30%",IF(AND(U11="Correctivo",V11="Automático"),"35%",IF(AND(U11="Correctivo",V11="Manual"),"25%",""))))))</f>
        <v>40%</v>
      </c>
      <c r="X11" s="89" t="s">
        <v>18</v>
      </c>
      <c r="Y11" s="89" t="s">
        <v>21</v>
      </c>
      <c r="Z11" s="89" t="s">
        <v>104</v>
      </c>
      <c r="AA11" s="99">
        <f>IFERROR(IF(AND(T10="Probabilidad",T11="Probabilidad"),(AC10-(+AC10*W11)),IF(T11="Probabilidad",(K10-(+K10*W11)),IF(T11="Impacto",AC10,""))),"")</f>
        <v>0.216</v>
      </c>
      <c r="AB11" s="100" t="str">
        <f t="shared" ref="AB11:AB12" si="11">IFERROR(IF(AA11="","",IF(AA11&lt;=0.2,"Muy Baja",IF(AA11&lt;=0.4,"Baja",IF(AA11&lt;=0.6,"Media",IF(AA11&lt;=0.8,"Alta","Muy Alta"))))),"")</f>
        <v>Baja</v>
      </c>
      <c r="AC11" s="121">
        <f t="shared" ref="AC11:AC15" si="12">+AA11</f>
        <v>0.216</v>
      </c>
      <c r="AD11" s="100" t="str">
        <f t="shared" ref="AD11:AD13" si="13">IFERROR(IF(AE11="","",IF(AE11&lt;=0.2,"Leve",IF(AE11&lt;=0.4,"Menor",IF(AE11&lt;=0.6,"Moderado",IF(AE11&lt;=0.8,"Mayor","Catastrófico"))))),"")</f>
        <v>Moderado</v>
      </c>
      <c r="AE11" s="121">
        <f>IFERROR(IF(AND(T10="Impacto",T11="Impacto"),(AE10-(+AE10*W11)),IF(T11="Impacto",($P$5-(+$P$5*W11)),IF(T11="Probabilidad",AE10,""))),"")</f>
        <v>0.6</v>
      </c>
      <c r="AF11" s="101" t="str">
        <f t="shared" ref="AF11:AF13" si="1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89" t="s">
        <v>120</v>
      </c>
      <c r="AH11" s="119" t="s">
        <v>415</v>
      </c>
      <c r="AI11" s="142">
        <v>44593</v>
      </c>
      <c r="AJ11" s="95">
        <v>44926</v>
      </c>
      <c r="AK11" s="119" t="s">
        <v>40</v>
      </c>
      <c r="AL11" s="119" t="s">
        <v>40</v>
      </c>
    </row>
    <row r="12" spans="1:38" ht="99.95" customHeight="1" x14ac:dyDescent="0.25">
      <c r="A12" s="145">
        <v>3</v>
      </c>
      <c r="B12" s="146" t="s">
        <v>286</v>
      </c>
      <c r="C12" s="122" t="s">
        <v>118</v>
      </c>
      <c r="D12" s="110" t="s">
        <v>72</v>
      </c>
      <c r="E12" s="119" t="s">
        <v>319</v>
      </c>
      <c r="F12" s="119" t="s">
        <v>320</v>
      </c>
      <c r="G12" s="119" t="s">
        <v>339</v>
      </c>
      <c r="H12" s="119" t="s">
        <v>108</v>
      </c>
      <c r="I12" s="119">
        <v>140</v>
      </c>
      <c r="J12" s="120" t="str">
        <f t="shared" si="0"/>
        <v>Media</v>
      </c>
      <c r="K12" s="121">
        <f t="shared" si="1"/>
        <v>0.6</v>
      </c>
      <c r="L12" s="121" t="s">
        <v>89</v>
      </c>
      <c r="M12" s="141" t="s">
        <v>137</v>
      </c>
      <c r="N12" s="121" t="str">
        <f ca="1">IF(NOT(ISERROR(MATCH(M12,_xlfn.ANCHORARRAY(#REF!),0))),#REF!&amp;"Por favor no seleccionar los criterios de impacto",M12)</f>
        <v xml:space="preserve">     El riesgo afecta la imagen de la entidad con algunos usuarios de relevancia frente al logro de los objetivos</v>
      </c>
      <c r="O12" s="120"/>
      <c r="P12" s="121"/>
      <c r="Q12" s="114"/>
      <c r="R12" s="97">
        <v>3</v>
      </c>
      <c r="S12" s="119" t="s">
        <v>324</v>
      </c>
      <c r="T12" s="98" t="str">
        <f>IF(OR(U12="Preventivo",U12="Detectivo"),"Probabilidad",IF(U12="Correctivo","Impacto",""))</f>
        <v>Probabilidad</v>
      </c>
      <c r="U12" s="89" t="s">
        <v>13</v>
      </c>
      <c r="V12" s="89" t="s">
        <v>8</v>
      </c>
      <c r="W12" s="121" t="str">
        <f t="shared" si="10"/>
        <v>40%</v>
      </c>
      <c r="X12" s="89" t="s">
        <v>18</v>
      </c>
      <c r="Y12" s="89" t="s">
        <v>21</v>
      </c>
      <c r="Z12" s="89" t="s">
        <v>104</v>
      </c>
      <c r="AA12" s="99">
        <f>IFERROR(IF(AND(T11="Probabilidad",T12="Probabilidad"),(AC11-(+AC11*W12)),IF(AND(T11="Impacto",T12="Probabilidad"),(AC10-(+AC10*W12)),IF(T12="Impacto",AC11,""))),"")</f>
        <v>0.12959999999999999</v>
      </c>
      <c r="AB12" s="100" t="str">
        <f t="shared" si="11"/>
        <v>Muy Baja</v>
      </c>
      <c r="AC12" s="121">
        <f t="shared" si="12"/>
        <v>0.12959999999999999</v>
      </c>
      <c r="AD12" s="100" t="str">
        <f t="shared" si="13"/>
        <v>Moderado</v>
      </c>
      <c r="AE12" s="121">
        <f>IFERROR(IF(AND(T11="Impacto",T12="Impacto"),(AE11-(+AE11*W12)),IF(AND(T11="Probabilidad",T12="Impacto"),(AE10-(+AE10*W12)),IF(T12="Probabilidad",AE11,""))),"")</f>
        <v>0.6</v>
      </c>
      <c r="AF12" s="101" t="str">
        <f t="shared" si="14"/>
        <v>Moderado</v>
      </c>
      <c r="AG12" s="89" t="s">
        <v>120</v>
      </c>
      <c r="AH12" s="119" t="s">
        <v>413</v>
      </c>
      <c r="AI12" s="142">
        <v>44593</v>
      </c>
      <c r="AJ12" s="95">
        <v>44926</v>
      </c>
      <c r="AK12" s="119" t="s">
        <v>40</v>
      </c>
      <c r="AL12" s="119" t="s">
        <v>40</v>
      </c>
    </row>
    <row r="13" spans="1:38" ht="99.75" customHeight="1" x14ac:dyDescent="0.25">
      <c r="A13" s="147">
        <v>4</v>
      </c>
      <c r="B13" s="148" t="s">
        <v>274</v>
      </c>
      <c r="C13" s="119" t="s">
        <v>118</v>
      </c>
      <c r="D13" s="110" t="s">
        <v>72</v>
      </c>
      <c r="E13" s="122" t="s">
        <v>235</v>
      </c>
      <c r="F13" s="122" t="s">
        <v>236</v>
      </c>
      <c r="G13" s="119" t="s">
        <v>340</v>
      </c>
      <c r="H13" s="122" t="s">
        <v>108</v>
      </c>
      <c r="I13" s="122">
        <v>20</v>
      </c>
      <c r="J13" s="111" t="str">
        <f t="shared" si="0"/>
        <v>Baja</v>
      </c>
      <c r="K13" s="112">
        <f t="shared" si="1"/>
        <v>0.4</v>
      </c>
      <c r="L13" s="112" t="s">
        <v>88</v>
      </c>
      <c r="M13" s="86" t="s">
        <v>137</v>
      </c>
      <c r="N13" s="112" t="str">
        <f ca="1">IF(NOT(ISERROR(MATCH(M13,_xlfn.ANCHORARRAY(#REF!),0))),#REF!&amp;"Por favor no seleccionar los criterios de impacto",M13)</f>
        <v xml:space="preserve">     El riesgo afecta la imagen de la entidad con algunos usuarios de relevancia frente al logro de los objetivos</v>
      </c>
      <c r="O13" s="111" t="str">
        <f ca="1">IF(OR(N13='[3]Tabla Impacto'!$C$11,N13='[3]Tabla Impacto'!$D$11),"Leve",IF(OR(N13='[3]Tabla Impacto'!$C$12,N13='[3]Tabla Impacto'!$D$12),"Menor",IF(OR(N13='[3]Tabla Impacto'!$C$13,N13='[3]Tabla Impacto'!$D$13),"Moderado",IF(OR(N13='[3]Tabla Impacto'!$C$14,N13='[3]Tabla Impacto'!$D$14),"Mayor",IF(OR(N13='[3]Tabla Impacto'!$C$15,N13='[3]Tabla Impacto'!$D$15),"Catastrófico","")))))</f>
        <v>Moderado</v>
      </c>
      <c r="P13" s="112">
        <f ca="1">IF(O13="","",IF(O13="Leve",0.2,IF(O13="Menor",0.4,IF(O13="Moderado",0.6,IF(O13="Mayor",0.8,IF(O13="Catastrófico",1,))))))</f>
        <v>0.6</v>
      </c>
      <c r="Q13" s="113" t="str">
        <f ca="1">IF(OR(AND(J13="Muy Baja",O13="Leve"),AND(J13="Muy Baja",O13="Menor"),AND(J13="Baja",O13="Leve")),"Bajo",IF(OR(AND(J13="Muy baja",O13="Moderado"),AND(J13="Baja",O13="Menor"),AND(J13="Baja",O13="Moderado"),AND(J13="Media",O13="Leve"),AND(J13="Media",O13="Menor"),AND(J13="Media",O13="Moderado"),AND(J13="Alta",O13="Leve"),AND(J13="Alta",O13="Menor")),"Moderado",IF(OR(AND(J13="Muy Baja",O13="Mayor"),AND(J13="Baja",O13="Mayor"),AND(J13="Media",O13="Mayor"),AND(J13="Alta",O13="Moderado"),AND(J13="Alta",O13="Mayor"),AND(J13="Muy Alta",O13="Leve"),AND(J13="Muy Alta",O13="Menor"),AND(J13="Muy Alta",O13="Moderado"),AND(J13="Muy Alta",O13="Mayor")),"Alto",IF(OR(AND(J13="Muy Baja",O13="Catastrófico"),AND(J13="Baja",O13="Catastrófico"),AND(J13="Media",O13="Catastrófico"),AND(J13="Alta",O13="Catastrófico"),AND(J13="Muy Alta",O13="Catastrófico")),"Extremo",""))))</f>
        <v>Moderado</v>
      </c>
      <c r="R13" s="87">
        <v>1</v>
      </c>
      <c r="S13" s="122" t="s">
        <v>342</v>
      </c>
      <c r="T13" s="102" t="str">
        <f t="shared" ref="T13:T17" si="15">IF(OR(U13="Preventivo",U13="Detectivo"),"Probabilidad",IF(U13="Correctivo","Impacto",""))</f>
        <v>Probabilidad</v>
      </c>
      <c r="U13" s="89" t="s">
        <v>13</v>
      </c>
      <c r="V13" s="89" t="s">
        <v>8</v>
      </c>
      <c r="W13" s="112" t="str">
        <f t="shared" si="10"/>
        <v>40%</v>
      </c>
      <c r="X13" s="89" t="s">
        <v>18</v>
      </c>
      <c r="Y13" s="89" t="s">
        <v>21</v>
      </c>
      <c r="Z13" s="89" t="s">
        <v>104</v>
      </c>
      <c r="AA13" s="103">
        <f>IFERROR(IF(T13="Probabilidad",(K13-(+K13*W13)),IF(T13="Impacto",K13,"")),"")</f>
        <v>0.24</v>
      </c>
      <c r="AB13" s="92" t="str">
        <f>IFERROR(IF(AA13="","",IF(AA13&lt;=0.2,"Muy Baja",IF(AA13&lt;=0.4,"Baja",IF(AA13&lt;=0.6,"Media",IF(AA13&lt;=0.8,"Alta","Muy Alta"))))),"")</f>
        <v>Baja</v>
      </c>
      <c r="AC13" s="112">
        <f t="shared" si="12"/>
        <v>0.24</v>
      </c>
      <c r="AD13" s="92" t="str">
        <f t="shared" ca="1" si="13"/>
        <v>Moderado</v>
      </c>
      <c r="AE13" s="112">
        <f ca="1">IFERROR(IF(T13="Impacto",(P13-(+P13*W13)),IF(T13="Probabilidad",P13,"")),"")</f>
        <v>0.6</v>
      </c>
      <c r="AF13" s="104" t="str">
        <f t="shared" ca="1" si="14"/>
        <v>Moderado</v>
      </c>
      <c r="AG13" s="94" t="s">
        <v>120</v>
      </c>
      <c r="AH13" s="122" t="s">
        <v>343</v>
      </c>
      <c r="AI13" s="115">
        <v>44593</v>
      </c>
      <c r="AJ13" s="115">
        <v>44926</v>
      </c>
      <c r="AK13" s="119" t="s">
        <v>40</v>
      </c>
      <c r="AL13" s="119" t="s">
        <v>40</v>
      </c>
    </row>
    <row r="14" spans="1:38" ht="99.95" customHeight="1" x14ac:dyDescent="0.25">
      <c r="A14" s="145">
        <v>5</v>
      </c>
      <c r="B14" s="119" t="s">
        <v>275</v>
      </c>
      <c r="C14" s="119" t="s">
        <v>118</v>
      </c>
      <c r="D14" s="110" t="s">
        <v>72</v>
      </c>
      <c r="E14" s="110" t="s">
        <v>306</v>
      </c>
      <c r="F14" s="110" t="s">
        <v>305</v>
      </c>
      <c r="G14" s="154" t="s">
        <v>341</v>
      </c>
      <c r="H14" s="122" t="s">
        <v>108</v>
      </c>
      <c r="I14" s="110">
        <v>150</v>
      </c>
      <c r="J14" s="111" t="str">
        <f t="shared" si="0"/>
        <v>Media</v>
      </c>
      <c r="K14" s="112">
        <f t="shared" si="1"/>
        <v>0.6</v>
      </c>
      <c r="L14" s="112" t="s">
        <v>89</v>
      </c>
      <c r="M14" s="86" t="s">
        <v>138</v>
      </c>
      <c r="N14" s="112" t="str">
        <f>IF(NOT(ISERROR(MATCH(M14,'[3]Tabla Impacto'!$B$221:$B$223,0))),'[3]Tabla Impacto'!$F$223&amp;"Por favor no seleccionar los criterios de impacto(Afectación Económica o presupuestal y Pérdida Reputacional)",M14)</f>
        <v xml:space="preserve">     El riesgo afecta la imagen de de la entidad con efecto publicitario sostenido a nivel de sector administrativo, nivel departamental o municipal</v>
      </c>
      <c r="O14" s="111" t="str">
        <f>IF(OR(N14='[3]Tabla Impacto'!$C$11,N14='[3]Tabla Impacto'!$D$11),"Leve",IF(OR(N14='[3]Tabla Impacto'!$C$12,N14='[3]Tabla Impacto'!$D$12),"Menor",IF(OR(N14='[3]Tabla Impacto'!$C$13,N14='[3]Tabla Impacto'!$D$13),"Moderado",IF(OR(N14='[3]Tabla Impacto'!$C$14,N14='[3]Tabla Impacto'!$D$14),"Mayor",IF(OR(N14='[3]Tabla Impacto'!$C$15,N14='[3]Tabla Impacto'!$D$15),"Catastrófico","")))))</f>
        <v>Mayor</v>
      </c>
      <c r="P14" s="112">
        <f>IF(O14="","",IF(O14="Leve",0.2,IF(O14="Menor",0.4,IF(O14="Moderado",0.6,IF(O14="Mayor",0.8,IF(O14="Catastrófico",1,))))))</f>
        <v>0.8</v>
      </c>
      <c r="Q14" s="113" t="str">
        <f>IF(OR(AND(J14="Muy Baja",O14="Leve"),AND(J14="Muy Baja",O14="Menor"),AND(J14="Baja",O14="Leve")),"Bajo",IF(OR(AND(J14="Muy baja",O14="Moderado"),AND(J14="Baja",O14="Menor"),AND(J14="Baja",O14="Moderado"),AND(J14="Media",O14="Leve"),AND(J14="Media",O14="Menor"),AND(J14="Media",O14="Moderado"),AND(J14="Alta",O14="Leve"),AND(J14="Alta",O14="Menor")),"Moderado",IF(OR(AND(J14="Muy Baja",O14="Mayor"),AND(J14="Baja",O14="Mayor"),AND(J14="Media",O14="Mayor"),AND(J14="Alta",O14="Moderado"),AND(J14="Alta",O14="Mayor"),AND(J14="Muy Alta",O14="Leve"),AND(J14="Muy Alta",O14="Menor"),AND(J14="Muy Alta",O14="Moderado"),AND(J14="Muy Alta",O14="Mayor")),"Alto",IF(OR(AND(J14="Muy Baja",O14="Catastrófico"),AND(J14="Baja",O14="Catastrófico"),AND(J14="Media",O14="Catastrófico"),AND(J14="Alta",O14="Catastrófico"),AND(J14="Muy Alta",O14="Catastrófico")),"Extremo",""))))</f>
        <v>Alto</v>
      </c>
      <c r="R14" s="87">
        <v>1</v>
      </c>
      <c r="S14" s="109" t="s">
        <v>335</v>
      </c>
      <c r="T14" s="135" t="str">
        <f t="shared" si="15"/>
        <v>Probabilidad</v>
      </c>
      <c r="U14" s="89" t="s">
        <v>13</v>
      </c>
      <c r="V14" s="89" t="s">
        <v>8</v>
      </c>
      <c r="W14" s="117" t="str">
        <f t="shared" si="10"/>
        <v>40%</v>
      </c>
      <c r="X14" s="89" t="s">
        <v>18</v>
      </c>
      <c r="Y14" s="89" t="s">
        <v>21</v>
      </c>
      <c r="Z14" s="89" t="s">
        <v>104</v>
      </c>
      <c r="AA14" s="137">
        <f>IFERROR(IF(T14="Probabilidad",(K14-(+K14*W14)),IF(T14="Impacto",K14,"")),"")</f>
        <v>0.36</v>
      </c>
      <c r="AB14" s="138" t="str">
        <f>IFERROR(IF(AA14="","",IF(AA14&lt;=0.2,"Muy Baja",IF(AA14&lt;=0.4,"Baja",IF(AA14&lt;=0.6,"Media",IF(AA14&lt;=0.8,"Alta","Muy Alta"))))),"")</f>
        <v>Baja</v>
      </c>
      <c r="AC14" s="117">
        <f t="shared" si="12"/>
        <v>0.36</v>
      </c>
      <c r="AD14" s="138" t="s">
        <v>70</v>
      </c>
      <c r="AE14" s="117">
        <v>0.6</v>
      </c>
      <c r="AF14" s="139" t="s">
        <v>70</v>
      </c>
      <c r="AG14" s="136" t="s">
        <v>120</v>
      </c>
      <c r="AH14" s="109" t="s">
        <v>412</v>
      </c>
      <c r="AI14" s="143">
        <v>44593</v>
      </c>
      <c r="AJ14" s="143">
        <v>44926</v>
      </c>
      <c r="AK14" s="119" t="s">
        <v>40</v>
      </c>
      <c r="AL14" s="119" t="s">
        <v>40</v>
      </c>
    </row>
    <row r="15" spans="1:38" ht="99.75" customHeight="1" x14ac:dyDescent="0.25">
      <c r="A15" s="145">
        <v>5</v>
      </c>
      <c r="B15" s="119" t="s">
        <v>275</v>
      </c>
      <c r="C15" s="119" t="s">
        <v>118</v>
      </c>
      <c r="D15" s="110" t="s">
        <v>72</v>
      </c>
      <c r="E15" s="110" t="s">
        <v>306</v>
      </c>
      <c r="F15" s="110" t="s">
        <v>305</v>
      </c>
      <c r="G15" s="154" t="s">
        <v>341</v>
      </c>
      <c r="H15" s="122" t="s">
        <v>108</v>
      </c>
      <c r="I15" s="110">
        <v>150</v>
      </c>
      <c r="J15" s="111" t="str">
        <f t="shared" si="0"/>
        <v>Media</v>
      </c>
      <c r="K15" s="112">
        <f t="shared" si="1"/>
        <v>0.6</v>
      </c>
      <c r="L15" s="112" t="s">
        <v>89</v>
      </c>
      <c r="M15" s="86" t="s">
        <v>138</v>
      </c>
      <c r="N15" s="112"/>
      <c r="O15" s="111"/>
      <c r="P15" s="134"/>
      <c r="Q15" s="113"/>
      <c r="R15" s="87">
        <v>2</v>
      </c>
      <c r="S15" s="119" t="s">
        <v>336</v>
      </c>
      <c r="T15" s="88" t="str">
        <f t="shared" si="15"/>
        <v>Probabilidad</v>
      </c>
      <c r="U15" s="89" t="s">
        <v>13</v>
      </c>
      <c r="V15" s="89" t="s">
        <v>8</v>
      </c>
      <c r="W15" s="90" t="str">
        <f t="shared" si="10"/>
        <v>40%</v>
      </c>
      <c r="X15" s="89" t="s">
        <v>18</v>
      </c>
      <c r="Y15" s="89" t="s">
        <v>21</v>
      </c>
      <c r="Z15" s="89" t="s">
        <v>104</v>
      </c>
      <c r="AA15" s="91">
        <f t="shared" ref="AA15" si="16">IFERROR(IF(AND(T14="Probabilidad",T15="Probabilidad"),(AC14-(+AC14*W15)),IF(AND(T14="Impacto",T15="Probabilidad"),(AC13-(+AC13*W15)),IF(T15="Impacto",AC14,""))),"")</f>
        <v>0.216</v>
      </c>
      <c r="AB15" s="92" t="str">
        <f t="shared" si="3"/>
        <v>Baja</v>
      </c>
      <c r="AC15" s="90">
        <f t="shared" si="12"/>
        <v>0.216</v>
      </c>
      <c r="AD15" s="92" t="str">
        <f t="shared" ref="AD15" si="17">IFERROR(IF(AE15="","",IF(AE15&lt;=0.2,"Leve",IF(AE15&lt;=0.4,"Menor",IF(AE15&lt;=0.6,"Moderado",IF(AE15&lt;=0.8,"Mayor","Catastrófico"))))),"")</f>
        <v>Moderado</v>
      </c>
      <c r="AE15" s="117">
        <v>0.6</v>
      </c>
      <c r="AF15" s="139" t="s">
        <v>70</v>
      </c>
      <c r="AG15" s="94" t="s">
        <v>120</v>
      </c>
      <c r="AH15" s="109" t="s">
        <v>412</v>
      </c>
      <c r="AI15" s="143">
        <v>44593</v>
      </c>
      <c r="AJ15" s="143">
        <v>44926</v>
      </c>
      <c r="AK15" s="119" t="s">
        <v>40</v>
      </c>
      <c r="AL15" s="119" t="s">
        <v>40</v>
      </c>
    </row>
    <row r="16" spans="1:38" ht="99.75" customHeight="1" x14ac:dyDescent="0.25">
      <c r="A16" s="145">
        <v>6</v>
      </c>
      <c r="B16" s="109" t="s">
        <v>347</v>
      </c>
      <c r="C16" s="122" t="s">
        <v>116</v>
      </c>
      <c r="D16" s="110" t="s">
        <v>72</v>
      </c>
      <c r="E16" s="122" t="s">
        <v>346</v>
      </c>
      <c r="F16" s="122" t="s">
        <v>348</v>
      </c>
      <c r="G16" s="119" t="s">
        <v>349</v>
      </c>
      <c r="H16" s="122" t="s">
        <v>110</v>
      </c>
      <c r="I16" s="116">
        <v>100</v>
      </c>
      <c r="J16" s="111" t="str">
        <f t="shared" si="0"/>
        <v>Media</v>
      </c>
      <c r="K16" s="112">
        <f t="shared" si="1"/>
        <v>0.6</v>
      </c>
      <c r="L16" s="112" t="s">
        <v>89</v>
      </c>
      <c r="M16" s="86" t="s">
        <v>138</v>
      </c>
      <c r="N16" s="153" t="str">
        <f ca="1">IF(NOT(ISERROR(MATCH(M16,'Tabla Impacto.'!$A$220:$A$222,0))),'Tabla Impacto.'!$E$222&amp;"Por favor no seleccionar los criterios de impacto(Afectación Económica o presupuestal y Pérdida Reputacional)",M16)</f>
        <v xml:space="preserve">     El riesgo afecta la imagen de de la entidad con efecto publicitario sostenido a nivel de sector administrativo, nivel departamental o municipal</v>
      </c>
      <c r="O16" s="111" t="str">
        <f ca="1">IF(OR(N16='[3]Tabla Impacto'!$C$11,N16='[3]Tabla Impacto'!$D$11),"Leve",IF(OR(N16='[3]Tabla Impacto'!$C$12,N16='[3]Tabla Impacto'!$D$12),"Menor",IF(OR(N16='[3]Tabla Impacto'!$C$13,N16='[3]Tabla Impacto'!$D$13),"Moderado",IF(OR(N16='[3]Tabla Impacto'!$C$14,N16='[3]Tabla Impacto'!$D$14),"Mayor",IF(OR(N16='[3]Tabla Impacto'!$C$15,N16='[3]Tabla Impacto'!$D$15),"Catastrófico","")))))</f>
        <v>Mayor</v>
      </c>
      <c r="P16" s="112">
        <f ca="1">IF(O16="","",IF(O16="Leve",0.2,IF(O16="Menor",0.4,IF(O16="Moderado",0.6,IF(O16="Mayor",0.8,IF(O16="Catastrófico",1,))))))</f>
        <v>0.8</v>
      </c>
      <c r="Q16" s="113" t="str">
        <f ca="1">IF(OR(AND(J16="Muy Baja",O16="Leve"),AND(J16="Muy Baja",O16="Menor"),AND(J16="Baja",O16="Leve")),"Bajo",IF(OR(AND(J16="Muy baja",O16="Moderado"),AND(J16="Baja",O16="Menor"),AND(J16="Baja",O16="Moderado"),AND(J16="Media",O16="Leve"),AND(J16="Media",O16="Menor"),AND(J16="Media",O16="Moderado"),AND(J16="Alta",O16="Leve"),AND(J16="Alta",O16="Menor")),"Moderado",IF(OR(AND(J16="Muy Baja",O16="Mayor"),AND(J16="Baja",O16="Mayor"),AND(J16="Media",O16="Mayor"),AND(J16="Alta",O16="Moderado"),AND(J16="Alta",O16="Mayor"),AND(J16="Muy Alta",O16="Leve"),AND(J16="Muy Alta",O16="Menor"),AND(J16="Muy Alta",O16="Moderado"),AND(J16="Muy Alta",O16="Mayor")),"Alto",IF(OR(AND(J16="Muy Baja",O16="Catastrófico"),AND(J16="Baja",O16="Catastrófico"),AND(J16="Media",O16="Catastrófico"),AND(J16="Alta",O16="Catastrófico"),AND(J16="Muy Alta",O16="Catastrófico")),"Extremo",""))))</f>
        <v>Alto</v>
      </c>
      <c r="R16" s="87">
        <v>1</v>
      </c>
      <c r="S16" s="122" t="s">
        <v>352</v>
      </c>
      <c r="T16" s="88" t="str">
        <f t="shared" si="15"/>
        <v>Probabilidad</v>
      </c>
      <c r="U16" s="89" t="s">
        <v>13</v>
      </c>
      <c r="V16" s="89" t="s">
        <v>8</v>
      </c>
      <c r="W16" s="105" t="str">
        <f t="shared" si="10"/>
        <v>40%</v>
      </c>
      <c r="X16" s="89" t="s">
        <v>18</v>
      </c>
      <c r="Y16" s="89" t="s">
        <v>21</v>
      </c>
      <c r="Z16" s="89" t="s">
        <v>104</v>
      </c>
      <c r="AA16" s="103">
        <f>IFERROR(IF(T16="Probabilidad",(K16-(+K16*W16)),IF(T16="Impacto",K16,"")),"")</f>
        <v>0.36</v>
      </c>
      <c r="AB16" s="92" t="str">
        <f>IFERROR(IF(AA16="","",IF(AA16&lt;=0.2,"Muy Baja",IF(AA16&lt;=0.4,"Baja",IF(AA16&lt;=0.6,"Media",IF(AA16&lt;=0.8,"Alta","Muy Alta"))))),"")</f>
        <v>Baja</v>
      </c>
      <c r="AC16" s="112">
        <f t="shared" ref="AC16:AC17" si="18">+AA16</f>
        <v>0.36</v>
      </c>
      <c r="AD16" s="92" t="s">
        <v>70</v>
      </c>
      <c r="AE16" s="112">
        <v>0.6</v>
      </c>
      <c r="AF16" s="104" t="s">
        <v>70</v>
      </c>
      <c r="AG16" s="94" t="s">
        <v>120</v>
      </c>
      <c r="AH16" s="107" t="s">
        <v>350</v>
      </c>
      <c r="AI16" s="115">
        <v>44593</v>
      </c>
      <c r="AJ16" s="115">
        <v>44926</v>
      </c>
      <c r="AK16" s="119" t="s">
        <v>40</v>
      </c>
      <c r="AL16" s="119" t="s">
        <v>40</v>
      </c>
    </row>
    <row r="17" spans="1:38" ht="99" customHeight="1" x14ac:dyDescent="0.25">
      <c r="A17" s="145">
        <v>6</v>
      </c>
      <c r="B17" s="119" t="s">
        <v>347</v>
      </c>
      <c r="C17" s="122" t="s">
        <v>116</v>
      </c>
      <c r="D17" s="110" t="s">
        <v>72</v>
      </c>
      <c r="E17" s="122" t="s">
        <v>346</v>
      </c>
      <c r="F17" s="122" t="s">
        <v>348</v>
      </c>
      <c r="G17" s="119" t="s">
        <v>349</v>
      </c>
      <c r="H17" s="122" t="s">
        <v>110</v>
      </c>
      <c r="I17" s="116">
        <v>100</v>
      </c>
      <c r="J17" s="111" t="str">
        <f t="shared" si="0"/>
        <v>Media</v>
      </c>
      <c r="K17" s="112">
        <f t="shared" si="1"/>
        <v>0.6</v>
      </c>
      <c r="L17" s="112" t="s">
        <v>89</v>
      </c>
      <c r="M17" s="86" t="s">
        <v>138</v>
      </c>
      <c r="N17" s="153" t="str">
        <f ca="1">IF(NOT(ISERROR(MATCH(M17,_xlfn.ANCHORARRAY(#REF!),0))),#REF!&amp;"Por favor no seleccionar los criterios de impacto",M17)</f>
        <v xml:space="preserve">     El riesgo afecta la imagen de de la entidad con efecto publicitario sostenido a nivel de sector administrativo, nivel departamental o municipal</v>
      </c>
      <c r="O17" s="111"/>
      <c r="P17" s="112"/>
      <c r="Q17" s="113"/>
      <c r="R17" s="87">
        <v>2</v>
      </c>
      <c r="S17" s="122" t="s">
        <v>351</v>
      </c>
      <c r="T17" s="88" t="str">
        <f t="shared" si="15"/>
        <v>Probabilidad</v>
      </c>
      <c r="U17" s="89" t="s">
        <v>13</v>
      </c>
      <c r="V17" s="89" t="s">
        <v>8</v>
      </c>
      <c r="W17" s="105" t="str">
        <f t="shared" si="10"/>
        <v>40%</v>
      </c>
      <c r="X17" s="89" t="s">
        <v>18</v>
      </c>
      <c r="Y17" s="89" t="s">
        <v>21</v>
      </c>
      <c r="Z17" s="89" t="s">
        <v>104</v>
      </c>
      <c r="AA17" s="91">
        <f t="shared" ref="AA17" si="19">IFERROR(IF(AND(T16="Probabilidad",T17="Probabilidad"),(AC16-(+AC16*W17)),IF(AND(T16="Impacto",T17="Probabilidad"),(AC15-(+AC15*W17)),IF(T17="Impacto",AC16,""))),"")</f>
        <v>0.216</v>
      </c>
      <c r="AB17" s="92" t="str">
        <f t="shared" ref="AB17" si="20">IFERROR(IF(AA17="","",IF(AA17&lt;=0.2,"Muy Baja",IF(AA17&lt;=0.4,"Baja",IF(AA17&lt;=0.6,"Media",IF(AA17&lt;=0.8,"Alta","Muy Alta"))))),"")</f>
        <v>Baja</v>
      </c>
      <c r="AC17" s="90">
        <f t="shared" si="18"/>
        <v>0.216</v>
      </c>
      <c r="AD17" s="92" t="str">
        <f t="shared" ref="AD17" si="21">IFERROR(IF(AE17="","",IF(AE17&lt;=0.2,"Leve",IF(AE17&lt;=0.4,"Menor",IF(AE17&lt;=0.6,"Moderado",IF(AE17&lt;=0.8,"Mayor","Catastrófico"))))),"")</f>
        <v>Leve</v>
      </c>
      <c r="AE17" s="112">
        <f t="shared" ref="AE17" si="22">IFERROR(IF(T17="Impacto",(P17-(+P17*W17)),IF(T17="Probabilidad",P17,"")),"")</f>
        <v>0</v>
      </c>
      <c r="AF17" s="93" t="str">
        <f t="shared" ref="AF17" si="23">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Bajo</v>
      </c>
      <c r="AG17" s="94" t="s">
        <v>120</v>
      </c>
      <c r="AH17" s="122" t="s">
        <v>350</v>
      </c>
      <c r="AI17" s="115">
        <v>44593</v>
      </c>
      <c r="AJ17" s="115">
        <v>44926</v>
      </c>
      <c r="AK17" s="119" t="s">
        <v>40</v>
      </c>
      <c r="AL17" s="119" t="s">
        <v>40</v>
      </c>
    </row>
    <row r="18" spans="1:38" ht="100.5" customHeight="1" x14ac:dyDescent="0.25">
      <c r="A18" s="149">
        <v>7</v>
      </c>
      <c r="B18" s="119" t="s">
        <v>277</v>
      </c>
      <c r="C18" s="122" t="s">
        <v>117</v>
      </c>
      <c r="D18" s="110" t="s">
        <v>72</v>
      </c>
      <c r="E18" s="119" t="s">
        <v>375</v>
      </c>
      <c r="F18" s="119" t="s">
        <v>376</v>
      </c>
      <c r="G18" s="119" t="s">
        <v>377</v>
      </c>
      <c r="H18" s="122" t="s">
        <v>108</v>
      </c>
      <c r="I18" s="119">
        <v>48</v>
      </c>
      <c r="J18" s="120" t="str">
        <f>IF(I18&lt;=0,"",IF(I18&lt;=2,"Muy Baja",IF(I18&lt;=24,"Baja",IF(I18&lt;=500,"Media",IF(I18&lt;=5000,"Alta","Muy Alta")))))</f>
        <v>Media</v>
      </c>
      <c r="K18" s="121">
        <f>IF(J18="","",IF(J18="Muy Baja",0.2,IF(J18="Baja",0.4,IF(J18="Media",0.6,IF(J18="Alta",0.8,IF(J18="Muy Alta",1,))))))</f>
        <v>0.6</v>
      </c>
      <c r="L18" s="134" t="s">
        <v>89</v>
      </c>
      <c r="M18" s="86" t="s">
        <v>132</v>
      </c>
      <c r="N18" s="134" t="str">
        <f ca="1">IF(NOT(ISERROR(MATCH(M18,_xlfn.ANCHORARRAY(#REF!),0))),#REF!&amp;"Por favor no seleccionar los criterios de impacto",M18)</f>
        <v xml:space="preserve">     Entre 10 y 50 SMLMV </v>
      </c>
      <c r="O18" s="111" t="str">
        <f ca="1">IF(OR(N18='[3]Tabla Impacto'!$C$11,N18='[3]Tabla Impacto'!$D$11),"Leve",IF(OR(N18='[3]Tabla Impacto'!$C$12,N18='[3]Tabla Impacto'!$D$12),"Menor",IF(OR(N18='[3]Tabla Impacto'!$C$13,N18='[3]Tabla Impacto'!$D$13),"Moderado",IF(OR(N18='[3]Tabla Impacto'!$C$14,N18='[3]Tabla Impacto'!$D$14),"Mayor",IF(OR(N18='[3]Tabla Impacto'!$C$15,N18='[3]Tabla Impacto'!$D$15),"Catastrófico","")))))</f>
        <v>Menor</v>
      </c>
      <c r="P18" s="134">
        <f ca="1">IF(O18="","",IF(O18="Leve",0.2,IF(O18="Menor",0.4,IF(O18="Moderado",0.6,IF(O18="Mayor",0.8,IF(O18="Catastrófico",1,))))))</f>
        <v>0.4</v>
      </c>
      <c r="Q18" s="113" t="str">
        <f ca="1">IF(OR(AND(J18="Muy Baja",O18="Leve"),AND(J18="Muy Baja",O18="Menor"),AND(J18="Baja",O18="Leve")),"Bajo",IF(OR(AND(J18="Muy baja",O18="Moderado"),AND(J18="Baja",O18="Menor"),AND(J18="Baja",O18="Moderado"),AND(J18="Media",O18="Leve"),AND(J18="Media",O18="Menor"),AND(J18="Media",O18="Moderado"),AND(J18="Alta",O18="Leve"),AND(J18="Alta",O18="Menor")),"Moderado",IF(OR(AND(J18="Muy Baja",O18="Mayor"),AND(J18="Baja",O18="Mayor"),AND(J18="Media",O18="Mayor"),AND(J18="Alta",O18="Moderado"),AND(J18="Alta",O18="Mayor"),AND(J18="Muy Alta",O18="Leve"),AND(J18="Muy Alta",O18="Menor"),AND(J18="Muy Alta",O18="Moderado"),AND(J18="Muy Alta",O18="Mayor")),"Alto",IF(OR(AND(J18="Muy Baja",O18="Catastrófico"),AND(J18="Baja",O18="Catastrófico"),AND(J18="Media",O18="Catastrófico"),AND(J18="Alta",O18="Catastrófico"),AND(J18="Muy Alta",O18="Catastrófico")),"Extremo",""))))</f>
        <v>Moderado</v>
      </c>
      <c r="R18" s="154">
        <v>1</v>
      </c>
      <c r="S18" s="119" t="s">
        <v>378</v>
      </c>
      <c r="T18" s="98" t="str">
        <f t="shared" ref="T18" si="24">IF(OR(U18="Preventivo",U18="Detectivo"),"Probabilidad",IF(U18="Correctivo","Impacto",""))</f>
        <v>Probabilidad</v>
      </c>
      <c r="U18" s="89" t="s">
        <v>13</v>
      </c>
      <c r="V18" s="89" t="s">
        <v>8</v>
      </c>
      <c r="W18" s="121" t="str">
        <f t="shared" ref="W18" si="25">IF(AND(U18="Preventivo",V18="Automático"),"50%",IF(AND(U18="Preventivo",V18="Manual"),"40%",IF(AND(U18="Detectivo",V18="Automático"),"40%",IF(AND(U18="Detectivo",V18="Manual"),"30%",IF(AND(U18="Correctivo",V18="Automático"),"35%",IF(AND(U18="Correctivo",V18="Manual"),"25%",""))))))</f>
        <v>40%</v>
      </c>
      <c r="X18" s="89" t="s">
        <v>18</v>
      </c>
      <c r="Y18" s="89" t="s">
        <v>21</v>
      </c>
      <c r="Z18" s="89" t="s">
        <v>104</v>
      </c>
      <c r="AA18" s="99">
        <f>IFERROR(IF(AND(T17="Probabilidad",T18="Probabilidad"),(AC17-(+AC17*W18)),IF(T18="Probabilidad",(L17-(+L17*W18)),IF(T18="Impacto",AC17,""))),"")</f>
        <v>0.12959999999999999</v>
      </c>
      <c r="AB18" s="100" t="str">
        <f t="shared" ref="AB18" si="26">IFERROR(IF(AA18="","",IF(AA18&lt;=0.2,"Muy Baja",IF(AA18&lt;=0.4,"Baja",IF(AA18&lt;=0.6,"Media",IF(AA18&lt;=0.8,"Alta","Muy Alta"))))),"")</f>
        <v>Muy Baja</v>
      </c>
      <c r="AC18" s="121">
        <f t="shared" ref="AC18" si="27">+AA18</f>
        <v>0.12959999999999999</v>
      </c>
      <c r="AD18" s="100" t="str">
        <f t="shared" ref="AD18" ca="1" si="28">IFERROR(IF(AE18="","",IF(AE18&lt;=0.2,"Leve",IF(AE18&lt;=0.4,"Menor",IF(AE18&lt;=0.6,"Moderado",IF(AE18&lt;=0.8,"Mayor","Catastrófico"))))),"")</f>
        <v>Menor</v>
      </c>
      <c r="AE18" s="121">
        <f ca="1">IFERROR(IF(T18="Impacto",(P18-(+P18*W18)),IF(T18="Probabilidad",P18,"")),"")</f>
        <v>0.4</v>
      </c>
      <c r="AF18" s="101" t="str">
        <f t="shared" ref="AF18" ca="1" si="29">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Bajo</v>
      </c>
      <c r="AG18" s="89" t="s">
        <v>120</v>
      </c>
      <c r="AH18" s="119" t="s">
        <v>411</v>
      </c>
      <c r="AI18" s="115">
        <v>44593</v>
      </c>
      <c r="AJ18" s="115">
        <v>44926</v>
      </c>
      <c r="AK18" s="119" t="s">
        <v>40</v>
      </c>
      <c r="AL18" s="119" t="s">
        <v>40</v>
      </c>
    </row>
  </sheetData>
  <dataConsolidate/>
  <mergeCells count="1">
    <mergeCell ref="N3:N4"/>
  </mergeCells>
  <conditionalFormatting sqref="J16">
    <cfRule type="cellIs" dxfId="655" priority="824" operator="equal">
      <formula>"Muy Alta"</formula>
    </cfRule>
    <cfRule type="cellIs" dxfId="654" priority="825" operator="equal">
      <formula>"Alta"</formula>
    </cfRule>
    <cfRule type="cellIs" dxfId="653" priority="826" operator="equal">
      <formula>"Media"</formula>
    </cfRule>
    <cfRule type="cellIs" dxfId="652" priority="827" operator="equal">
      <formula>"Baja"</formula>
    </cfRule>
    <cfRule type="cellIs" dxfId="651" priority="828" operator="equal">
      <formula>"Muy Baja"</formula>
    </cfRule>
  </conditionalFormatting>
  <conditionalFormatting sqref="N16:N18">
    <cfRule type="containsText" dxfId="650" priority="632" operator="containsText" text="❌">
      <formula>NOT(ISERROR(SEARCH("❌",N16)))</formula>
    </cfRule>
  </conditionalFormatting>
  <conditionalFormatting sqref="J14">
    <cfRule type="cellIs" dxfId="649" priority="413" operator="equal">
      <formula>"Muy Alta"</formula>
    </cfRule>
    <cfRule type="cellIs" dxfId="648" priority="414" operator="equal">
      <formula>"Alta"</formula>
    </cfRule>
    <cfRule type="cellIs" dxfId="647" priority="415" operator="equal">
      <formula>"Media"</formula>
    </cfRule>
    <cfRule type="cellIs" dxfId="646" priority="416" operator="equal">
      <formula>"Baja"</formula>
    </cfRule>
    <cfRule type="cellIs" dxfId="645" priority="417" operator="equal">
      <formula>"Muy Baja"</formula>
    </cfRule>
  </conditionalFormatting>
  <conditionalFormatting sqref="O14">
    <cfRule type="cellIs" dxfId="644" priority="408" operator="equal">
      <formula>"Catastrófico"</formula>
    </cfRule>
    <cfRule type="cellIs" dxfId="643" priority="409" operator="equal">
      <formula>"Mayor"</formula>
    </cfRule>
    <cfRule type="cellIs" dxfId="642" priority="410" operator="equal">
      <formula>"Moderado"</formula>
    </cfRule>
    <cfRule type="cellIs" dxfId="641" priority="411" operator="equal">
      <formula>"Menor"</formula>
    </cfRule>
    <cfRule type="cellIs" dxfId="640" priority="412" operator="equal">
      <formula>"Leve"</formula>
    </cfRule>
  </conditionalFormatting>
  <conditionalFormatting sqref="Q14">
    <cfRule type="cellIs" dxfId="639" priority="404" operator="equal">
      <formula>"Extremo"</formula>
    </cfRule>
    <cfRule type="cellIs" dxfId="638" priority="405" operator="equal">
      <formula>"Alto"</formula>
    </cfRule>
    <cfRule type="cellIs" dxfId="637" priority="406" operator="equal">
      <formula>"Moderado"</formula>
    </cfRule>
    <cfRule type="cellIs" dxfId="636" priority="407" operator="equal">
      <formula>"Bajo"</formula>
    </cfRule>
  </conditionalFormatting>
  <conditionalFormatting sqref="AB14">
    <cfRule type="cellIs" dxfId="635" priority="396" operator="equal">
      <formula>"Muy Alta"</formula>
    </cfRule>
    <cfRule type="cellIs" dxfId="634" priority="397" operator="equal">
      <formula>"Alta"</formula>
    </cfRule>
    <cfRule type="cellIs" dxfId="633" priority="398" operator="equal">
      <formula>"Media"</formula>
    </cfRule>
    <cfRule type="cellIs" dxfId="632" priority="399" operator="equal">
      <formula>"Baja"</formula>
    </cfRule>
    <cfRule type="cellIs" dxfId="631" priority="400" operator="equal">
      <formula>"Muy Baja"</formula>
    </cfRule>
  </conditionalFormatting>
  <conditionalFormatting sqref="AD14">
    <cfRule type="cellIs" dxfId="630" priority="274" operator="equal">
      <formula>"Catastrófico"</formula>
    </cfRule>
    <cfRule type="cellIs" dxfId="629" priority="275" operator="equal">
      <formula>"Mayor"</formula>
    </cfRule>
    <cfRule type="cellIs" dxfId="628" priority="276" operator="equal">
      <formula>"Moderado"</formula>
    </cfRule>
    <cfRule type="cellIs" dxfId="627" priority="277" operator="equal">
      <formula>"Menor"</formula>
    </cfRule>
    <cfRule type="cellIs" dxfId="626" priority="278" operator="equal">
      <formula>"Leve"</formula>
    </cfRule>
  </conditionalFormatting>
  <conditionalFormatting sqref="J5:J6">
    <cfRule type="cellIs" dxfId="625" priority="534" operator="equal">
      <formula>"Muy Alta"</formula>
    </cfRule>
    <cfRule type="cellIs" dxfId="624" priority="535" operator="equal">
      <formula>"Alta"</formula>
    </cfRule>
    <cfRule type="cellIs" dxfId="623" priority="536" operator="equal">
      <formula>"Media"</formula>
    </cfRule>
    <cfRule type="cellIs" dxfId="622" priority="537" operator="equal">
      <formula>"Baja"</formula>
    </cfRule>
    <cfRule type="cellIs" dxfId="621" priority="538" operator="equal">
      <formula>"Muy Baja"</formula>
    </cfRule>
  </conditionalFormatting>
  <conditionalFormatting sqref="O5:O6 O10">
    <cfRule type="cellIs" dxfId="620" priority="529" operator="equal">
      <formula>"Catastrófico"</formula>
    </cfRule>
    <cfRule type="cellIs" dxfId="619" priority="530" operator="equal">
      <formula>"Mayor"</formula>
    </cfRule>
    <cfRule type="cellIs" dxfId="618" priority="531" operator="equal">
      <formula>"Moderado"</formula>
    </cfRule>
    <cfRule type="cellIs" dxfId="617" priority="532" operator="equal">
      <formula>"Menor"</formula>
    </cfRule>
    <cfRule type="cellIs" dxfId="616" priority="533" operator="equal">
      <formula>"Leve"</formula>
    </cfRule>
  </conditionalFormatting>
  <conditionalFormatting sqref="Q5">
    <cfRule type="cellIs" dxfId="615" priority="525" operator="equal">
      <formula>"Extremo"</formula>
    </cfRule>
    <cfRule type="cellIs" dxfId="614" priority="526" operator="equal">
      <formula>"Alto"</formula>
    </cfRule>
    <cfRule type="cellIs" dxfId="613" priority="527" operator="equal">
      <formula>"Moderado"</formula>
    </cfRule>
    <cfRule type="cellIs" dxfId="612" priority="528" operator="equal">
      <formula>"Bajo"</formula>
    </cfRule>
  </conditionalFormatting>
  <conditionalFormatting sqref="AB5">
    <cfRule type="cellIs" dxfId="611" priority="520" operator="equal">
      <formula>"Muy Alta"</formula>
    </cfRule>
    <cfRule type="cellIs" dxfId="610" priority="521" operator="equal">
      <formula>"Alta"</formula>
    </cfRule>
    <cfRule type="cellIs" dxfId="609" priority="522" operator="equal">
      <formula>"Media"</formula>
    </cfRule>
    <cfRule type="cellIs" dxfId="608" priority="523" operator="equal">
      <formula>"Baja"</formula>
    </cfRule>
    <cfRule type="cellIs" dxfId="607" priority="524" operator="equal">
      <formula>"Muy Baja"</formula>
    </cfRule>
  </conditionalFormatting>
  <conditionalFormatting sqref="AD5">
    <cfRule type="cellIs" dxfId="606" priority="515" operator="equal">
      <formula>"Catastrófico"</formula>
    </cfRule>
    <cfRule type="cellIs" dxfId="605" priority="516" operator="equal">
      <formula>"Mayor"</formula>
    </cfRule>
    <cfRule type="cellIs" dxfId="604" priority="517" operator="equal">
      <formula>"Moderado"</formula>
    </cfRule>
    <cfRule type="cellIs" dxfId="603" priority="518" operator="equal">
      <formula>"Menor"</formula>
    </cfRule>
    <cfRule type="cellIs" dxfId="602" priority="519" operator="equal">
      <formula>"Leve"</formula>
    </cfRule>
  </conditionalFormatting>
  <conditionalFormatting sqref="AF5">
    <cfRule type="cellIs" dxfId="601" priority="511" operator="equal">
      <formula>"Extremo"</formula>
    </cfRule>
    <cfRule type="cellIs" dxfId="600" priority="512" operator="equal">
      <formula>"Alto"</formula>
    </cfRule>
    <cfRule type="cellIs" dxfId="599" priority="513" operator="equal">
      <formula>"Moderado"</formula>
    </cfRule>
    <cfRule type="cellIs" dxfId="598" priority="514" operator="equal">
      <formula>"Bajo"</formula>
    </cfRule>
  </conditionalFormatting>
  <conditionalFormatting sqref="Q6">
    <cfRule type="cellIs" dxfId="597" priority="507" operator="equal">
      <formula>"Extremo"</formula>
    </cfRule>
    <cfRule type="cellIs" dxfId="596" priority="508" operator="equal">
      <formula>"Alto"</formula>
    </cfRule>
    <cfRule type="cellIs" dxfId="595" priority="509" operator="equal">
      <formula>"Moderado"</formula>
    </cfRule>
    <cfRule type="cellIs" dxfId="594" priority="510" operator="equal">
      <formula>"Bajo"</formula>
    </cfRule>
  </conditionalFormatting>
  <conditionalFormatting sqref="AB6:AB9">
    <cfRule type="cellIs" dxfId="593" priority="502" operator="equal">
      <formula>"Muy Alta"</formula>
    </cfRule>
    <cfRule type="cellIs" dxfId="592" priority="503" operator="equal">
      <formula>"Alta"</formula>
    </cfRule>
    <cfRule type="cellIs" dxfId="591" priority="504" operator="equal">
      <formula>"Media"</formula>
    </cfRule>
    <cfRule type="cellIs" dxfId="590" priority="505" operator="equal">
      <formula>"Baja"</formula>
    </cfRule>
    <cfRule type="cellIs" dxfId="589" priority="506" operator="equal">
      <formula>"Muy Baja"</formula>
    </cfRule>
  </conditionalFormatting>
  <conditionalFormatting sqref="AD6:AD9">
    <cfRule type="cellIs" dxfId="588" priority="497" operator="equal">
      <formula>"Catastrófico"</formula>
    </cfRule>
    <cfRule type="cellIs" dxfId="587" priority="498" operator="equal">
      <formula>"Mayor"</formula>
    </cfRule>
    <cfRule type="cellIs" dxfId="586" priority="499" operator="equal">
      <formula>"Moderado"</formula>
    </cfRule>
    <cfRule type="cellIs" dxfId="585" priority="500" operator="equal">
      <formula>"Menor"</formula>
    </cfRule>
    <cfRule type="cellIs" dxfId="584" priority="501" operator="equal">
      <formula>"Leve"</formula>
    </cfRule>
  </conditionalFormatting>
  <conditionalFormatting sqref="AF6:AF9">
    <cfRule type="cellIs" dxfId="583" priority="493" operator="equal">
      <formula>"Extremo"</formula>
    </cfRule>
    <cfRule type="cellIs" dxfId="582" priority="494" operator="equal">
      <formula>"Alto"</formula>
    </cfRule>
    <cfRule type="cellIs" dxfId="581" priority="495" operator="equal">
      <formula>"Moderado"</formula>
    </cfRule>
    <cfRule type="cellIs" dxfId="580" priority="496" operator="equal">
      <formula>"Bajo"</formula>
    </cfRule>
  </conditionalFormatting>
  <conditionalFormatting sqref="Q10">
    <cfRule type="cellIs" dxfId="579" priority="489" operator="equal">
      <formula>"Extremo"</formula>
    </cfRule>
    <cfRule type="cellIs" dxfId="578" priority="490" operator="equal">
      <formula>"Alto"</formula>
    </cfRule>
    <cfRule type="cellIs" dxfId="577" priority="491" operator="equal">
      <formula>"Moderado"</formula>
    </cfRule>
    <cfRule type="cellIs" dxfId="576" priority="492" operator="equal">
      <formula>"Bajo"</formula>
    </cfRule>
  </conditionalFormatting>
  <conditionalFormatting sqref="AB15">
    <cfRule type="cellIs" dxfId="575" priority="484" operator="equal">
      <formula>"Muy Alta"</formula>
    </cfRule>
    <cfRule type="cellIs" dxfId="574" priority="485" operator="equal">
      <formula>"Alta"</formula>
    </cfRule>
    <cfRule type="cellIs" dxfId="573" priority="486" operator="equal">
      <formula>"Media"</formula>
    </cfRule>
    <cfRule type="cellIs" dxfId="572" priority="487" operator="equal">
      <formula>"Baja"</formula>
    </cfRule>
    <cfRule type="cellIs" dxfId="571" priority="488" operator="equal">
      <formula>"Muy Baja"</formula>
    </cfRule>
  </conditionalFormatting>
  <conditionalFormatting sqref="N5:N6 N10:N15">
    <cfRule type="containsText" dxfId="570" priority="474" operator="containsText" text="❌">
      <formula>NOT(ISERROR(SEARCH("❌",N5)))</formula>
    </cfRule>
  </conditionalFormatting>
  <conditionalFormatting sqref="D5:D6">
    <cfRule type="containsText" dxfId="569" priority="471" operator="containsText" text="Catastrófico">
      <formula>NOT(ISERROR(SEARCH("Catastrófico",D5)))</formula>
    </cfRule>
    <cfRule type="containsText" dxfId="568" priority="472" operator="containsText" text="Mayor">
      <formula>NOT(ISERROR(SEARCH("Mayor",D5)))</formula>
    </cfRule>
    <cfRule type="cellIs" dxfId="567" priority="473" operator="equal">
      <formula>"Moderado"</formula>
    </cfRule>
  </conditionalFormatting>
  <conditionalFormatting sqref="D10">
    <cfRule type="containsText" dxfId="566" priority="468" operator="containsText" text="Catastrófico">
      <formula>NOT(ISERROR(SEARCH("Catastrófico",D10)))</formula>
    </cfRule>
    <cfRule type="containsText" dxfId="565" priority="469" operator="containsText" text="Mayor">
      <formula>NOT(ISERROR(SEARCH("Mayor",D10)))</formula>
    </cfRule>
    <cfRule type="cellIs" dxfId="564" priority="470" operator="equal">
      <formula>"Moderado"</formula>
    </cfRule>
  </conditionalFormatting>
  <conditionalFormatting sqref="J10">
    <cfRule type="cellIs" dxfId="563" priority="463" operator="equal">
      <formula>"Muy Alta"</formula>
    </cfRule>
    <cfRule type="cellIs" dxfId="562" priority="464" operator="equal">
      <formula>"Alta"</formula>
    </cfRule>
    <cfRule type="cellIs" dxfId="561" priority="465" operator="equal">
      <formula>"Media"</formula>
    </cfRule>
    <cfRule type="cellIs" dxfId="560" priority="466" operator="equal">
      <formula>"Baja"</formula>
    </cfRule>
    <cfRule type="cellIs" dxfId="559" priority="467" operator="equal">
      <formula>"Muy Baja"</formula>
    </cfRule>
  </conditionalFormatting>
  <conditionalFormatting sqref="AB10:AB12">
    <cfRule type="cellIs" dxfId="558" priority="458" operator="equal">
      <formula>"Muy Alta"</formula>
    </cfRule>
    <cfRule type="cellIs" dxfId="557" priority="459" operator="equal">
      <formula>"Alta"</formula>
    </cfRule>
    <cfRule type="cellIs" dxfId="556" priority="460" operator="equal">
      <formula>"Media"</formula>
    </cfRule>
    <cfRule type="cellIs" dxfId="555" priority="461" operator="equal">
      <formula>"Baja"</formula>
    </cfRule>
    <cfRule type="cellIs" dxfId="554" priority="462" operator="equal">
      <formula>"Muy Baja"</formula>
    </cfRule>
  </conditionalFormatting>
  <conditionalFormatting sqref="AD10:AD13">
    <cfRule type="cellIs" dxfId="553" priority="453" operator="equal">
      <formula>"Catastrófico"</formula>
    </cfRule>
    <cfRule type="cellIs" dxfId="552" priority="454" operator="equal">
      <formula>"Mayor"</formula>
    </cfRule>
    <cfRule type="cellIs" dxfId="551" priority="455" operator="equal">
      <formula>"Moderado"</formula>
    </cfRule>
    <cfRule type="cellIs" dxfId="550" priority="456" operator="equal">
      <formula>"Menor"</formula>
    </cfRule>
    <cfRule type="cellIs" dxfId="549" priority="457" operator="equal">
      <formula>"Leve"</formula>
    </cfRule>
  </conditionalFormatting>
  <conditionalFormatting sqref="AF10:AF12">
    <cfRule type="cellIs" dxfId="548" priority="449" operator="equal">
      <formula>"Extremo"</formula>
    </cfRule>
    <cfRule type="cellIs" dxfId="547" priority="450" operator="equal">
      <formula>"Alto"</formula>
    </cfRule>
    <cfRule type="cellIs" dxfId="546" priority="451" operator="equal">
      <formula>"Moderado"</formula>
    </cfRule>
    <cfRule type="cellIs" dxfId="545" priority="452" operator="equal">
      <formula>"Bajo"</formula>
    </cfRule>
  </conditionalFormatting>
  <conditionalFormatting sqref="J13">
    <cfRule type="cellIs" dxfId="544" priority="441" operator="equal">
      <formula>"Muy Alta"</formula>
    </cfRule>
    <cfRule type="cellIs" dxfId="543" priority="442" operator="equal">
      <formula>"Alta"</formula>
    </cfRule>
    <cfRule type="cellIs" dxfId="542" priority="443" operator="equal">
      <formula>"Media"</formula>
    </cfRule>
    <cfRule type="cellIs" dxfId="541" priority="444" operator="equal">
      <formula>"Baja"</formula>
    </cfRule>
    <cfRule type="cellIs" dxfId="540" priority="445" operator="equal">
      <formula>"Muy Baja"</formula>
    </cfRule>
  </conditionalFormatting>
  <conditionalFormatting sqref="O13">
    <cfRule type="cellIs" dxfId="539" priority="436" operator="equal">
      <formula>"Catastrófico"</formula>
    </cfRule>
    <cfRule type="cellIs" dxfId="538" priority="437" operator="equal">
      <formula>"Mayor"</formula>
    </cfRule>
    <cfRule type="cellIs" dxfId="537" priority="438" operator="equal">
      <formula>"Moderado"</formula>
    </cfRule>
    <cfRule type="cellIs" dxfId="536" priority="439" operator="equal">
      <formula>"Menor"</formula>
    </cfRule>
    <cfRule type="cellIs" dxfId="535" priority="440" operator="equal">
      <formula>"Leve"</formula>
    </cfRule>
  </conditionalFormatting>
  <conditionalFormatting sqref="Q13">
    <cfRule type="cellIs" dxfId="534" priority="432" operator="equal">
      <formula>"Extremo"</formula>
    </cfRule>
    <cfRule type="cellIs" dxfId="533" priority="433" operator="equal">
      <formula>"Alto"</formula>
    </cfRule>
    <cfRule type="cellIs" dxfId="532" priority="434" operator="equal">
      <formula>"Moderado"</formula>
    </cfRule>
    <cfRule type="cellIs" dxfId="531" priority="435" operator="equal">
      <formula>"Bajo"</formula>
    </cfRule>
  </conditionalFormatting>
  <conditionalFormatting sqref="AB13">
    <cfRule type="cellIs" dxfId="530" priority="427" operator="equal">
      <formula>"Muy Alta"</formula>
    </cfRule>
    <cfRule type="cellIs" dxfId="529" priority="428" operator="equal">
      <formula>"Alta"</formula>
    </cfRule>
    <cfRule type="cellIs" dxfId="528" priority="429" operator="equal">
      <formula>"Media"</formula>
    </cfRule>
    <cfRule type="cellIs" dxfId="527" priority="430" operator="equal">
      <formula>"Baja"</formula>
    </cfRule>
    <cfRule type="cellIs" dxfId="526" priority="431" operator="equal">
      <formula>"Muy Baja"</formula>
    </cfRule>
  </conditionalFormatting>
  <conditionalFormatting sqref="AF13">
    <cfRule type="cellIs" dxfId="525" priority="418" operator="equal">
      <formula>"Extremo"</formula>
    </cfRule>
    <cfRule type="cellIs" dxfId="524" priority="419" operator="equal">
      <formula>"Alto"</formula>
    </cfRule>
    <cfRule type="cellIs" dxfId="523" priority="420" operator="equal">
      <formula>"Moderado"</formula>
    </cfRule>
    <cfRule type="cellIs" dxfId="522" priority="421" operator="equal">
      <formula>"Bajo"</formula>
    </cfRule>
  </conditionalFormatting>
  <conditionalFormatting sqref="AF14:AF15">
    <cfRule type="cellIs" dxfId="521" priority="270" operator="equal">
      <formula>"Extremo"</formula>
    </cfRule>
    <cfRule type="cellIs" dxfId="520" priority="271" operator="equal">
      <formula>"Alto"</formula>
    </cfRule>
    <cfRule type="cellIs" dxfId="519" priority="272" operator="equal">
      <formula>"Moderado"</formula>
    </cfRule>
    <cfRule type="cellIs" dxfId="518" priority="273" operator="equal">
      <formula>"Bajo"</formula>
    </cfRule>
  </conditionalFormatting>
  <conditionalFormatting sqref="O16">
    <cfRule type="cellIs" dxfId="517" priority="260" operator="equal">
      <formula>"Catastrófico"</formula>
    </cfRule>
    <cfRule type="cellIs" dxfId="516" priority="261" operator="equal">
      <formula>"Mayor"</formula>
    </cfRule>
    <cfRule type="cellIs" dxfId="515" priority="262" operator="equal">
      <formula>"Moderado"</formula>
    </cfRule>
    <cfRule type="cellIs" dxfId="514" priority="263" operator="equal">
      <formula>"Menor"</formula>
    </cfRule>
    <cfRule type="cellIs" dxfId="513" priority="264" operator="equal">
      <formula>"Leve"</formula>
    </cfRule>
  </conditionalFormatting>
  <conditionalFormatting sqref="Q16">
    <cfRule type="cellIs" dxfId="512" priority="256" operator="equal">
      <formula>"Extremo"</formula>
    </cfRule>
    <cfRule type="cellIs" dxfId="511" priority="257" operator="equal">
      <formula>"Alto"</formula>
    </cfRule>
    <cfRule type="cellIs" dxfId="510" priority="258" operator="equal">
      <formula>"Moderado"</formula>
    </cfRule>
    <cfRule type="cellIs" dxfId="509" priority="259" operator="equal">
      <formula>"Bajo"</formula>
    </cfRule>
  </conditionalFormatting>
  <conditionalFormatting sqref="AB16">
    <cfRule type="cellIs" dxfId="508" priority="223" operator="equal">
      <formula>"Muy Alta"</formula>
    </cfRule>
    <cfRule type="cellIs" dxfId="507" priority="224" operator="equal">
      <formula>"Alta"</formula>
    </cfRule>
    <cfRule type="cellIs" dxfId="506" priority="225" operator="equal">
      <formula>"Media"</formula>
    </cfRule>
    <cfRule type="cellIs" dxfId="505" priority="226" operator="equal">
      <formula>"Baja"</formula>
    </cfRule>
    <cfRule type="cellIs" dxfId="504" priority="227" operator="equal">
      <formula>"Muy Baja"</formula>
    </cfRule>
  </conditionalFormatting>
  <conditionalFormatting sqref="AD16">
    <cfRule type="cellIs" dxfId="503" priority="218" operator="equal">
      <formula>"Catastrófico"</formula>
    </cfRule>
    <cfRule type="cellIs" dxfId="502" priority="219" operator="equal">
      <formula>"Mayor"</formula>
    </cfRule>
    <cfRule type="cellIs" dxfId="501" priority="220" operator="equal">
      <formula>"Moderado"</formula>
    </cfRule>
    <cfRule type="cellIs" dxfId="500" priority="221" operator="equal">
      <formula>"Menor"</formula>
    </cfRule>
    <cfRule type="cellIs" dxfId="499" priority="222" operator="equal">
      <formula>"Leve"</formula>
    </cfRule>
  </conditionalFormatting>
  <conditionalFormatting sqref="AF16">
    <cfRule type="cellIs" dxfId="498" priority="214" operator="equal">
      <formula>"Extremo"</formula>
    </cfRule>
    <cfRule type="cellIs" dxfId="497" priority="215" operator="equal">
      <formula>"Alto"</formula>
    </cfRule>
    <cfRule type="cellIs" dxfId="496" priority="216" operator="equal">
      <formula>"Moderado"</formula>
    </cfRule>
    <cfRule type="cellIs" dxfId="495" priority="217" operator="equal">
      <formula>"Bajo"</formula>
    </cfRule>
  </conditionalFormatting>
  <conditionalFormatting sqref="AB17">
    <cfRule type="cellIs" dxfId="494" priority="237" operator="equal">
      <formula>"Muy Alta"</formula>
    </cfRule>
    <cfRule type="cellIs" dxfId="493" priority="238" operator="equal">
      <formula>"Alta"</formula>
    </cfRule>
    <cfRule type="cellIs" dxfId="492" priority="239" operator="equal">
      <formula>"Media"</formula>
    </cfRule>
    <cfRule type="cellIs" dxfId="491" priority="240" operator="equal">
      <formula>"Baja"</formula>
    </cfRule>
    <cfRule type="cellIs" dxfId="490" priority="241" operator="equal">
      <formula>"Muy Baja"</formula>
    </cfRule>
  </conditionalFormatting>
  <conditionalFormatting sqref="AF17">
    <cfRule type="cellIs" dxfId="489" priority="233" operator="equal">
      <formula>"Extremo"</formula>
    </cfRule>
    <cfRule type="cellIs" dxfId="488" priority="234" operator="equal">
      <formula>"Alto"</formula>
    </cfRule>
    <cfRule type="cellIs" dxfId="487" priority="235" operator="equal">
      <formula>"Moderado"</formula>
    </cfRule>
    <cfRule type="cellIs" dxfId="486" priority="236" operator="equal">
      <formula>"Bajo"</formula>
    </cfRule>
  </conditionalFormatting>
  <conditionalFormatting sqref="AD17">
    <cfRule type="cellIs" dxfId="485" priority="228" operator="equal">
      <formula>"Catastrófico"</formula>
    </cfRule>
    <cfRule type="cellIs" dxfId="484" priority="229" operator="equal">
      <formula>"Mayor"</formula>
    </cfRule>
    <cfRule type="cellIs" dxfId="483" priority="230" operator="equal">
      <formula>"Moderado"</formula>
    </cfRule>
    <cfRule type="cellIs" dxfId="482" priority="231" operator="equal">
      <formula>"Menor"</formula>
    </cfRule>
    <cfRule type="cellIs" dxfId="481" priority="232" operator="equal">
      <formula>"Leve"</formula>
    </cfRule>
  </conditionalFormatting>
  <conditionalFormatting sqref="D7:D9">
    <cfRule type="containsText" dxfId="480" priority="208" operator="containsText" text="Catastrófico">
      <formula>NOT(ISERROR(SEARCH("Catastrófico",D7)))</formula>
    </cfRule>
    <cfRule type="containsText" dxfId="479" priority="209" operator="containsText" text="Mayor">
      <formula>NOT(ISERROR(SEARCH("Mayor",D7)))</formula>
    </cfRule>
    <cfRule type="cellIs" dxfId="478" priority="210" operator="equal">
      <formula>"Moderado"</formula>
    </cfRule>
  </conditionalFormatting>
  <conditionalFormatting sqref="D11">
    <cfRule type="containsText" dxfId="477" priority="199" operator="containsText" text="Catastrófico">
      <formula>NOT(ISERROR(SEARCH("Catastrófico",D11)))</formula>
    </cfRule>
    <cfRule type="containsText" dxfId="476" priority="200" operator="containsText" text="Mayor">
      <formula>NOT(ISERROR(SEARCH("Mayor",D11)))</formula>
    </cfRule>
    <cfRule type="cellIs" dxfId="475" priority="201" operator="equal">
      <formula>"Moderado"</formula>
    </cfRule>
  </conditionalFormatting>
  <conditionalFormatting sqref="D12">
    <cfRule type="containsText" dxfId="474" priority="196" operator="containsText" text="Catastrófico">
      <formula>NOT(ISERROR(SEARCH("Catastrófico",D12)))</formula>
    </cfRule>
    <cfRule type="containsText" dxfId="473" priority="197" operator="containsText" text="Mayor">
      <formula>NOT(ISERROR(SEARCH("Mayor",D12)))</formula>
    </cfRule>
    <cfRule type="cellIs" dxfId="472" priority="198" operator="equal">
      <formula>"Moderado"</formula>
    </cfRule>
  </conditionalFormatting>
  <conditionalFormatting sqref="J7">
    <cfRule type="cellIs" dxfId="471" priority="191" operator="equal">
      <formula>"Muy Alta"</formula>
    </cfRule>
    <cfRule type="cellIs" dxfId="470" priority="192" operator="equal">
      <formula>"Alta"</formula>
    </cfRule>
    <cfRule type="cellIs" dxfId="469" priority="193" operator="equal">
      <formula>"Media"</formula>
    </cfRule>
    <cfRule type="cellIs" dxfId="468" priority="194" operator="equal">
      <formula>"Baja"</formula>
    </cfRule>
    <cfRule type="cellIs" dxfId="467" priority="195" operator="equal">
      <formula>"Muy Baja"</formula>
    </cfRule>
  </conditionalFormatting>
  <conditionalFormatting sqref="J8">
    <cfRule type="cellIs" dxfId="466" priority="186" operator="equal">
      <formula>"Muy Alta"</formula>
    </cfRule>
    <cfRule type="cellIs" dxfId="465" priority="187" operator="equal">
      <formula>"Alta"</formula>
    </cfRule>
    <cfRule type="cellIs" dxfId="464" priority="188" operator="equal">
      <formula>"Media"</formula>
    </cfRule>
    <cfRule type="cellIs" dxfId="463" priority="189" operator="equal">
      <formula>"Baja"</formula>
    </cfRule>
    <cfRule type="cellIs" dxfId="462" priority="190" operator="equal">
      <formula>"Muy Baja"</formula>
    </cfRule>
  </conditionalFormatting>
  <conditionalFormatting sqref="J9">
    <cfRule type="cellIs" dxfId="461" priority="181" operator="equal">
      <formula>"Muy Alta"</formula>
    </cfRule>
    <cfRule type="cellIs" dxfId="460" priority="182" operator="equal">
      <formula>"Alta"</formula>
    </cfRule>
    <cfRule type="cellIs" dxfId="459" priority="183" operator="equal">
      <formula>"Media"</formula>
    </cfRule>
    <cfRule type="cellIs" dxfId="458" priority="184" operator="equal">
      <formula>"Baja"</formula>
    </cfRule>
    <cfRule type="cellIs" dxfId="457" priority="185" operator="equal">
      <formula>"Muy Baja"</formula>
    </cfRule>
  </conditionalFormatting>
  <conditionalFormatting sqref="J11">
    <cfRule type="cellIs" dxfId="456" priority="176" operator="equal">
      <formula>"Muy Alta"</formula>
    </cfRule>
    <cfRule type="cellIs" dxfId="455" priority="177" operator="equal">
      <formula>"Alta"</formula>
    </cfRule>
    <cfRule type="cellIs" dxfId="454" priority="178" operator="equal">
      <formula>"Media"</formula>
    </cfRule>
    <cfRule type="cellIs" dxfId="453" priority="179" operator="equal">
      <formula>"Baja"</formula>
    </cfRule>
    <cfRule type="cellIs" dxfId="452" priority="180" operator="equal">
      <formula>"Muy Baja"</formula>
    </cfRule>
  </conditionalFormatting>
  <conditionalFormatting sqref="J12">
    <cfRule type="cellIs" dxfId="451" priority="171" operator="equal">
      <formula>"Muy Alta"</formula>
    </cfRule>
    <cfRule type="cellIs" dxfId="450" priority="172" operator="equal">
      <formula>"Alta"</formula>
    </cfRule>
    <cfRule type="cellIs" dxfId="449" priority="173" operator="equal">
      <formula>"Media"</formula>
    </cfRule>
    <cfRule type="cellIs" dxfId="448" priority="174" operator="equal">
      <formula>"Baja"</formula>
    </cfRule>
    <cfRule type="cellIs" dxfId="447" priority="175" operator="equal">
      <formula>"Muy Baja"</formula>
    </cfRule>
  </conditionalFormatting>
  <conditionalFormatting sqref="J15">
    <cfRule type="cellIs" dxfId="446" priority="166" operator="equal">
      <formula>"Muy Alta"</formula>
    </cfRule>
    <cfRule type="cellIs" dxfId="445" priority="167" operator="equal">
      <formula>"Alta"</formula>
    </cfRule>
    <cfRule type="cellIs" dxfId="444" priority="168" operator="equal">
      <formula>"Media"</formula>
    </cfRule>
    <cfRule type="cellIs" dxfId="443" priority="169" operator="equal">
      <formula>"Baja"</formula>
    </cfRule>
    <cfRule type="cellIs" dxfId="442" priority="170" operator="equal">
      <formula>"Muy Baja"</formula>
    </cfRule>
  </conditionalFormatting>
  <conditionalFormatting sqref="J17">
    <cfRule type="cellIs" dxfId="441" priority="161" operator="equal">
      <formula>"Muy Alta"</formula>
    </cfRule>
    <cfRule type="cellIs" dxfId="440" priority="162" operator="equal">
      <formula>"Alta"</formula>
    </cfRule>
    <cfRule type="cellIs" dxfId="439" priority="163" operator="equal">
      <formula>"Media"</formula>
    </cfRule>
    <cfRule type="cellIs" dxfId="438" priority="164" operator="equal">
      <formula>"Baja"</formula>
    </cfRule>
    <cfRule type="cellIs" dxfId="437" priority="165" operator="equal">
      <formula>"Muy Baja"</formula>
    </cfRule>
  </conditionalFormatting>
  <conditionalFormatting sqref="AE18">
    <cfRule type="cellIs" dxfId="436" priority="132" operator="equal">
      <formula>"Extremo"</formula>
    </cfRule>
    <cfRule type="cellIs" dxfId="435" priority="133" operator="equal">
      <formula>"Alto"</formula>
    </cfRule>
    <cfRule type="cellIs" dxfId="434" priority="134" operator="equal">
      <formula>"Moderado"</formula>
    </cfRule>
    <cfRule type="cellIs" dxfId="433" priority="135" operator="equal">
      <formula>"Bajo"</formula>
    </cfRule>
  </conditionalFormatting>
  <conditionalFormatting sqref="AA18">
    <cfRule type="cellIs" dxfId="432" priority="141" operator="equal">
      <formula>"Muy Alta"</formula>
    </cfRule>
    <cfRule type="cellIs" dxfId="431" priority="142" operator="equal">
      <formula>"Alta"</formula>
    </cfRule>
    <cfRule type="cellIs" dxfId="430" priority="143" operator="equal">
      <formula>"Media"</formula>
    </cfRule>
    <cfRule type="cellIs" dxfId="429" priority="144" operator="equal">
      <formula>"Baja"</formula>
    </cfRule>
    <cfRule type="cellIs" dxfId="428" priority="145" operator="equal">
      <formula>"Muy Baja"</formula>
    </cfRule>
  </conditionalFormatting>
  <conditionalFormatting sqref="AC18">
    <cfRule type="cellIs" dxfId="427" priority="136" operator="equal">
      <formula>"Catastrófico"</formula>
    </cfRule>
    <cfRule type="cellIs" dxfId="426" priority="137" operator="equal">
      <formula>"Mayor"</formula>
    </cfRule>
    <cfRule type="cellIs" dxfId="425" priority="138" operator="equal">
      <formula>"Moderado"</formula>
    </cfRule>
    <cfRule type="cellIs" dxfId="424" priority="139" operator="equal">
      <formula>"Menor"</formula>
    </cfRule>
    <cfRule type="cellIs" dxfId="423" priority="140" operator="equal">
      <formula>"Leve"</formula>
    </cfRule>
  </conditionalFormatting>
  <conditionalFormatting sqref="AF18">
    <cfRule type="cellIs" dxfId="422" priority="118" operator="equal">
      <formula>"Extremo"</formula>
    </cfRule>
    <cfRule type="cellIs" dxfId="421" priority="119" operator="equal">
      <formula>"Alto"</formula>
    </cfRule>
    <cfRule type="cellIs" dxfId="420" priority="120" operator="equal">
      <formula>"Moderado"</formula>
    </cfRule>
    <cfRule type="cellIs" dxfId="419" priority="121" operator="equal">
      <formula>"Bajo"</formula>
    </cfRule>
  </conditionalFormatting>
  <conditionalFormatting sqref="AB18">
    <cfRule type="cellIs" dxfId="418" priority="127" operator="equal">
      <formula>"Muy Alta"</formula>
    </cfRule>
    <cfRule type="cellIs" dxfId="417" priority="128" operator="equal">
      <formula>"Alta"</formula>
    </cfRule>
    <cfRule type="cellIs" dxfId="416" priority="129" operator="equal">
      <formula>"Media"</formula>
    </cfRule>
    <cfRule type="cellIs" dxfId="415" priority="130" operator="equal">
      <formula>"Baja"</formula>
    </cfRule>
    <cfRule type="cellIs" dxfId="414" priority="131" operator="equal">
      <formula>"Muy Baja"</formula>
    </cfRule>
  </conditionalFormatting>
  <conditionalFormatting sqref="AD18">
    <cfRule type="cellIs" dxfId="413" priority="122" operator="equal">
      <formula>"Catastrófico"</formula>
    </cfRule>
    <cfRule type="cellIs" dxfId="412" priority="123" operator="equal">
      <formula>"Mayor"</formula>
    </cfRule>
    <cfRule type="cellIs" dxfId="411" priority="124" operator="equal">
      <formula>"Moderado"</formula>
    </cfRule>
    <cfRule type="cellIs" dxfId="410" priority="125" operator="equal">
      <formula>"Menor"</formula>
    </cfRule>
    <cfRule type="cellIs" dxfId="409" priority="126" operator="equal">
      <formula>"Leve"</formula>
    </cfRule>
  </conditionalFormatting>
  <conditionalFormatting sqref="O15">
    <cfRule type="cellIs" dxfId="408" priority="41" operator="equal">
      <formula>"Catastrófico"</formula>
    </cfRule>
    <cfRule type="cellIs" dxfId="407" priority="42" operator="equal">
      <formula>"Mayor"</formula>
    </cfRule>
    <cfRule type="cellIs" dxfId="406" priority="43" operator="equal">
      <formula>"Moderado"</formula>
    </cfRule>
    <cfRule type="cellIs" dxfId="405" priority="44" operator="equal">
      <formula>"Menor"</formula>
    </cfRule>
    <cfRule type="cellIs" dxfId="404" priority="45" operator="equal">
      <formula>"Leve"</formula>
    </cfRule>
  </conditionalFormatting>
  <conditionalFormatting sqref="Q15">
    <cfRule type="cellIs" dxfId="403" priority="37" operator="equal">
      <formula>"Extremo"</formula>
    </cfRule>
    <cfRule type="cellIs" dxfId="402" priority="38" operator="equal">
      <formula>"Alto"</formula>
    </cfRule>
    <cfRule type="cellIs" dxfId="401" priority="39" operator="equal">
      <formula>"Moderado"</formula>
    </cfRule>
    <cfRule type="cellIs" dxfId="400" priority="40" operator="equal">
      <formula>"Bajo"</formula>
    </cfRule>
  </conditionalFormatting>
  <conditionalFormatting sqref="J18">
    <cfRule type="cellIs" dxfId="399" priority="68" operator="equal">
      <formula>"Muy Alta"</formula>
    </cfRule>
    <cfRule type="cellIs" dxfId="398" priority="69" operator="equal">
      <formula>"Alta"</formula>
    </cfRule>
    <cfRule type="cellIs" dxfId="397" priority="70" operator="equal">
      <formula>"Media"</formula>
    </cfRule>
    <cfRule type="cellIs" dxfId="396" priority="71" operator="equal">
      <formula>"Baja"</formula>
    </cfRule>
    <cfRule type="cellIs" dxfId="395" priority="72" operator="equal">
      <formula>"Muy Baja"</formula>
    </cfRule>
  </conditionalFormatting>
  <conditionalFormatting sqref="O18">
    <cfRule type="cellIs" dxfId="394" priority="50" operator="equal">
      <formula>"Catastrófico"</formula>
    </cfRule>
    <cfRule type="cellIs" dxfId="393" priority="51" operator="equal">
      <formula>"Mayor"</formula>
    </cfRule>
    <cfRule type="cellIs" dxfId="392" priority="52" operator="equal">
      <formula>"Moderado"</formula>
    </cfRule>
    <cfRule type="cellIs" dxfId="391" priority="53" operator="equal">
      <formula>"Menor"</formula>
    </cfRule>
    <cfRule type="cellIs" dxfId="390" priority="54" operator="equal">
      <formula>"Leve"</formula>
    </cfRule>
  </conditionalFormatting>
  <conditionalFormatting sqref="Q18">
    <cfRule type="cellIs" dxfId="389" priority="46" operator="equal">
      <formula>"Extremo"</formula>
    </cfRule>
    <cfRule type="cellIs" dxfId="388" priority="47" operator="equal">
      <formula>"Alto"</formula>
    </cfRule>
    <cfRule type="cellIs" dxfId="387" priority="48" operator="equal">
      <formula>"Moderado"</formula>
    </cfRule>
    <cfRule type="cellIs" dxfId="386" priority="49" operator="equal">
      <formula>"Bajo"</formula>
    </cfRule>
  </conditionalFormatting>
  <conditionalFormatting sqref="AD15">
    <cfRule type="cellIs" dxfId="385" priority="28" operator="equal">
      <formula>"Catastrófico"</formula>
    </cfRule>
    <cfRule type="cellIs" dxfId="384" priority="29" operator="equal">
      <formula>"Mayor"</formula>
    </cfRule>
    <cfRule type="cellIs" dxfId="383" priority="30" operator="equal">
      <formula>"Moderado"</formula>
    </cfRule>
    <cfRule type="cellIs" dxfId="382" priority="31" operator="equal">
      <formula>"Menor"</formula>
    </cfRule>
    <cfRule type="cellIs" dxfId="381" priority="32" operator="equal">
      <formula>"Leve"</formula>
    </cfRule>
  </conditionalFormatting>
  <conditionalFormatting sqref="O7">
    <cfRule type="cellIs" dxfId="380" priority="23" operator="equal">
      <formula>"Catastrófico"</formula>
    </cfRule>
    <cfRule type="cellIs" dxfId="379" priority="24" operator="equal">
      <formula>"Mayor"</formula>
    </cfRule>
    <cfRule type="cellIs" dxfId="378" priority="25" operator="equal">
      <formula>"Moderado"</formula>
    </cfRule>
    <cfRule type="cellIs" dxfId="377" priority="26" operator="equal">
      <formula>"Menor"</formula>
    </cfRule>
    <cfRule type="cellIs" dxfId="376" priority="27" operator="equal">
      <formula>"Leve"</formula>
    </cfRule>
  </conditionalFormatting>
  <conditionalFormatting sqref="Q7">
    <cfRule type="cellIs" dxfId="375" priority="19" operator="equal">
      <formula>"Extremo"</formula>
    </cfRule>
    <cfRule type="cellIs" dxfId="374" priority="20" operator="equal">
      <formula>"Alto"</formula>
    </cfRule>
    <cfRule type="cellIs" dxfId="373" priority="21" operator="equal">
      <formula>"Moderado"</formula>
    </cfRule>
    <cfRule type="cellIs" dxfId="372" priority="22" operator="equal">
      <formula>"Bajo"</formula>
    </cfRule>
  </conditionalFormatting>
  <conditionalFormatting sqref="D17">
    <cfRule type="containsText" dxfId="371" priority="16" operator="containsText" text="Catastrófico">
      <formula>NOT(ISERROR(SEARCH("Catastrófico",D17)))</formula>
    </cfRule>
    <cfRule type="containsText" dxfId="370" priority="17" operator="containsText" text="Mayor">
      <formula>NOT(ISERROR(SEARCH("Mayor",D17)))</formula>
    </cfRule>
    <cfRule type="cellIs" dxfId="369" priority="18" operator="equal">
      <formula>"Moderado"</formula>
    </cfRule>
  </conditionalFormatting>
  <conditionalFormatting sqref="D16">
    <cfRule type="containsText" dxfId="368" priority="13" operator="containsText" text="Catastrófico">
      <formula>NOT(ISERROR(SEARCH("Catastrófico",D16)))</formula>
    </cfRule>
    <cfRule type="containsText" dxfId="367" priority="14" operator="containsText" text="Mayor">
      <formula>NOT(ISERROR(SEARCH("Mayor",D16)))</formula>
    </cfRule>
    <cfRule type="cellIs" dxfId="366" priority="15" operator="equal">
      <formula>"Moderado"</formula>
    </cfRule>
  </conditionalFormatting>
  <conditionalFormatting sqref="D13">
    <cfRule type="containsText" dxfId="365" priority="10" operator="containsText" text="Catastrófico">
      <formula>NOT(ISERROR(SEARCH("Catastrófico",D13)))</formula>
    </cfRule>
    <cfRule type="containsText" dxfId="364" priority="11" operator="containsText" text="Mayor">
      <formula>NOT(ISERROR(SEARCH("Mayor",D13)))</formula>
    </cfRule>
    <cfRule type="cellIs" dxfId="363" priority="12" operator="equal">
      <formula>"Moderado"</formula>
    </cfRule>
  </conditionalFormatting>
  <conditionalFormatting sqref="D14">
    <cfRule type="containsText" dxfId="362" priority="7" operator="containsText" text="Catastrófico">
      <formula>NOT(ISERROR(SEARCH("Catastrófico",D14)))</formula>
    </cfRule>
    <cfRule type="containsText" dxfId="361" priority="8" operator="containsText" text="Mayor">
      <formula>NOT(ISERROR(SEARCH("Mayor",D14)))</formula>
    </cfRule>
    <cfRule type="cellIs" dxfId="360" priority="9" operator="equal">
      <formula>"Moderado"</formula>
    </cfRule>
  </conditionalFormatting>
  <conditionalFormatting sqref="D15">
    <cfRule type="containsText" dxfId="359" priority="4" operator="containsText" text="Catastrófico">
      <formula>NOT(ISERROR(SEARCH("Catastrófico",D15)))</formula>
    </cfRule>
    <cfRule type="containsText" dxfId="358" priority="5" operator="containsText" text="Mayor">
      <formula>NOT(ISERROR(SEARCH("Mayor",D15)))</formula>
    </cfRule>
    <cfRule type="cellIs" dxfId="357" priority="6" operator="equal">
      <formula>"Moderado"</formula>
    </cfRule>
  </conditionalFormatting>
  <conditionalFormatting sqref="D18">
    <cfRule type="containsText" dxfId="356" priority="1" operator="containsText" text="Catastrófico">
      <formula>NOT(ISERROR(SEARCH("Catastrófico",D18)))</formula>
    </cfRule>
    <cfRule type="containsText" dxfId="355" priority="2" operator="containsText" text="Mayor">
      <formula>NOT(ISERROR(SEARCH("Mayor",D18)))</formula>
    </cfRule>
    <cfRule type="cellIs" dxfId="354" priority="3" operator="equal">
      <formula>"Moderado"</formula>
    </cfRule>
  </conditionalFormatting>
  <printOptions horizontalCentered="1"/>
  <pageMargins left="0.78740157480314965" right="0.78740157480314965" top="0.78740157480314965" bottom="0.78740157480314965" header="0.31496062992125984" footer="0.31496062992125984"/>
  <pageSetup scale="15" orientation="landscape"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'Opciones Tratamiento'!$B$9:$B$10</xm:f>
          </x14:formula1>
          <xm:sqref>AK5:AL18</xm:sqref>
        </x14:dataValidation>
        <x14:dataValidation type="list" allowBlank="1" showInputMessage="1" showErrorMessage="1">
          <x14:formula1>
            <xm:f>'Opciones Tratamiento'!$B$13:$B$19</xm:f>
          </x14:formula1>
          <xm:sqref>H5:H18</xm:sqref>
        </x14:dataValidation>
        <x14:dataValidation type="custom" allowBlank="1" showInputMessage="1" showErrorMessage="1" error="Recuerde que las acciones se generan bajo la medida de mitigar el riesgo">
          <x14:formula1>
            <xm:f>IF(OR(XBI5='C:\Users\dianabriceno\Downloads\[MAPA DE RIESGOS DE CORRUPCIÓN APC-COLOMBIA SEP-2021 (3).xlsx]Opciones Tratamiento'!#REF!,XBI5='C:\Users\dianabriceno\Downloads\[MAPA DE RIESGOS DE CORRUPCIÓN APC-COLOMBIA SEP-2021 (3).xlsx]Opciones Tratamiento'!#REF!,XBI5='C:\Users\dianabriceno\Downloads\[MAPA DE RIESGOS DE CORRUPCIÓN APC-COLOMBIA SEP-2021 (3).xlsx]Opciones Tratamiento'!#REF!),ISBLANK(XBI5),ISTEXT(XBI5))</xm:f>
          </x14:formula1>
          <xm:sqref>B5 B14:B15</xm:sqref>
        </x14:dataValidation>
        <x14:dataValidation type="list" allowBlank="1" showInputMessage="1" showErrorMessage="1">
          <x14:formula1>
            <xm:f>'Tabla Valoración Controles'!$C$4:$C$6</xm:f>
          </x14:formula1>
          <xm:sqref>U5:U18</xm:sqref>
        </x14:dataValidation>
        <x14:dataValidation type="list" allowBlank="1" showInputMessage="1" showErrorMessage="1">
          <x14:formula1>
            <xm:f>'Tabla Valoración Controles'!$C$7:$C$8</xm:f>
          </x14:formula1>
          <xm:sqref>V5:V18</xm:sqref>
        </x14:dataValidation>
        <x14:dataValidation type="list" allowBlank="1" showInputMessage="1" showErrorMessage="1">
          <x14:formula1>
            <xm:f>'Tabla Valoración Controles'!$C$9:$C$10</xm:f>
          </x14:formula1>
          <xm:sqref>X5:X18</xm:sqref>
        </x14:dataValidation>
        <x14:dataValidation type="list" allowBlank="1" showInputMessage="1" showErrorMessage="1">
          <x14:formula1>
            <xm:f>'Tabla Valoración Controles'!$C$11:$C$12</xm:f>
          </x14:formula1>
          <xm:sqref>Y5:Y18</xm:sqref>
        </x14:dataValidation>
        <x14:dataValidation type="list" allowBlank="1" showInputMessage="1" showErrorMessage="1">
          <x14:formula1>
            <xm:f>'Tabla Valoración Controles'!$C$13:$C$14</xm:f>
          </x14:formula1>
          <xm:sqref>Z5:Z18</xm:sqref>
        </x14:dataValidation>
        <x14:dataValidation type="list" allowBlank="1" showInputMessage="1" showErrorMessage="1">
          <x14:formula1>
            <xm:f>'Tabla Impacto.'!$E$209:$E$220</xm:f>
          </x14:formula1>
          <xm:sqref>M5:M18</xm:sqref>
        </x14:dataValidation>
        <x14:dataValidation type="list" allowBlank="1" showInputMessage="1">
          <x14:formula1>
            <xm:f>'Opciones Tratamiento'!$B$9:$B$10</xm:f>
          </x14:formula1>
          <xm:sqref>B16:B18</xm:sqref>
        </x14:dataValidation>
        <x14:dataValidation type="list" allowBlank="1" showInputMessage="1" showErrorMessage="1">
          <x14:formula1>
            <xm:f>'Opciones Tratamiento'!$B$2:$B$5</xm:f>
          </x14:formula1>
          <xm:sqref>AG5:AG17</xm:sqref>
        </x14:dataValidation>
        <x14:dataValidation type="list" allowBlank="1" showInputMessage="1" showErrorMessage="1">
          <x14:formula1>
            <xm:f>'C:\Users\dianabriceno\Downloads\[Mapa de riesgos institucional V1 31-01-2022 2.xlsx]Opciones Tratamiento'!#REF!</xm:f>
          </x14:formula1>
          <xm:sqref>AG18</xm:sqref>
        </x14:dataValidation>
        <x14:dataValidation type="list" allowBlank="1" showInputMessage="1" showErrorMessage="1">
          <x14:formula1>
            <xm:f>'Opciones Tratamiento'!$F$2:$F$4</xm:f>
          </x14:formula1>
          <xm:sqref>C5:C18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3"/>
  <sheetViews>
    <sheetView topLeftCell="A22" zoomScaleNormal="100" workbookViewId="0">
      <selection activeCell="A34" sqref="A34"/>
    </sheetView>
  </sheetViews>
  <sheetFormatPr baseColWidth="10" defaultRowHeight="15" x14ac:dyDescent="0.25"/>
  <cols>
    <col min="1" max="1" width="91" style="81" customWidth="1"/>
    <col min="2" max="2" width="109.28515625" style="81" customWidth="1"/>
    <col min="3" max="16384" width="11.42578125" style="81"/>
  </cols>
  <sheetData>
    <row r="1" spans="1:12" ht="50.25" customHeight="1" x14ac:dyDescent="0.25">
      <c r="A1" s="193"/>
      <c r="B1" s="202" t="s">
        <v>272</v>
      </c>
    </row>
    <row r="2" spans="1:12" ht="15.75" customHeight="1" x14ac:dyDescent="0.25">
      <c r="A2" s="204" t="s">
        <v>146</v>
      </c>
      <c r="B2" s="204" t="s">
        <v>146</v>
      </c>
      <c r="C2" s="241"/>
      <c r="D2" s="241"/>
      <c r="E2" s="241"/>
      <c r="F2" s="241"/>
      <c r="G2" s="241"/>
      <c r="H2" s="241"/>
      <c r="I2" s="241"/>
      <c r="J2" s="241"/>
      <c r="K2" s="241"/>
      <c r="L2" s="241"/>
    </row>
    <row r="3" spans="1:12" ht="187.5" customHeight="1" x14ac:dyDescent="0.25">
      <c r="A3" s="203" t="s">
        <v>395</v>
      </c>
      <c r="B3" s="203" t="s">
        <v>394</v>
      </c>
    </row>
    <row r="4" spans="1:12" ht="15.75" customHeight="1" x14ac:dyDescent="0.25">
      <c r="A4" s="204" t="s">
        <v>144</v>
      </c>
      <c r="B4" s="204" t="s">
        <v>144</v>
      </c>
    </row>
    <row r="5" spans="1:12" ht="126.75" customHeight="1" x14ac:dyDescent="0.25">
      <c r="A5" s="205" t="s">
        <v>397</v>
      </c>
      <c r="B5" s="205" t="s">
        <v>396</v>
      </c>
    </row>
    <row r="6" spans="1:12" ht="15.75" customHeight="1" x14ac:dyDescent="0.25">
      <c r="A6" s="204" t="s">
        <v>244</v>
      </c>
      <c r="B6" s="204" t="s">
        <v>244</v>
      </c>
    </row>
    <row r="7" spans="1:12" ht="64.5" customHeight="1" x14ac:dyDescent="0.25">
      <c r="A7" s="203" t="s">
        <v>255</v>
      </c>
      <c r="B7" s="203" t="s">
        <v>255</v>
      </c>
    </row>
    <row r="8" spans="1:12" ht="15.75" customHeight="1" x14ac:dyDescent="0.25">
      <c r="A8" s="204" t="s">
        <v>145</v>
      </c>
      <c r="B8" s="132" t="s">
        <v>172</v>
      </c>
    </row>
    <row r="9" spans="1:12" ht="15" customHeight="1" x14ac:dyDescent="0.25">
      <c r="A9" s="206" t="s">
        <v>166</v>
      </c>
      <c r="B9" s="133" t="s">
        <v>171</v>
      </c>
    </row>
    <row r="10" spans="1:12" ht="15" customHeight="1" x14ac:dyDescent="0.25">
      <c r="A10" s="206" t="s">
        <v>167</v>
      </c>
      <c r="B10" s="133" t="s">
        <v>169</v>
      </c>
    </row>
    <row r="11" spans="1:12" ht="15" customHeight="1" x14ac:dyDescent="0.25">
      <c r="A11" s="206" t="s">
        <v>168</v>
      </c>
      <c r="B11" s="133" t="s">
        <v>170</v>
      </c>
    </row>
    <row r="12" spans="1:12" ht="63.75" customHeight="1" x14ac:dyDescent="0.25">
      <c r="A12" s="206" t="s">
        <v>147</v>
      </c>
      <c r="B12" s="133" t="s">
        <v>148</v>
      </c>
    </row>
    <row r="13" spans="1:12" ht="30.75" customHeight="1" x14ac:dyDescent="0.25">
      <c r="A13" s="207" t="s">
        <v>2</v>
      </c>
      <c r="B13" s="133" t="s">
        <v>173</v>
      </c>
    </row>
    <row r="14" spans="1:12" ht="32.25" customHeight="1" x14ac:dyDescent="0.25">
      <c r="A14" s="207" t="s">
        <v>3</v>
      </c>
      <c r="B14" s="133" t="s">
        <v>174</v>
      </c>
    </row>
    <row r="15" spans="1:12" ht="31.5" customHeight="1" x14ac:dyDescent="0.25">
      <c r="A15" s="207" t="s">
        <v>41</v>
      </c>
      <c r="B15" s="133" t="s">
        <v>175</v>
      </c>
    </row>
    <row r="16" spans="1:12" ht="61.5" customHeight="1" x14ac:dyDescent="0.25">
      <c r="A16" s="207" t="s">
        <v>1</v>
      </c>
      <c r="B16" s="133" t="s">
        <v>245</v>
      </c>
    </row>
    <row r="17" spans="1:2" ht="49.5" customHeight="1" x14ac:dyDescent="0.25">
      <c r="A17" s="207" t="s">
        <v>47</v>
      </c>
      <c r="B17" s="133" t="s">
        <v>150</v>
      </c>
    </row>
    <row r="18" spans="1:2" ht="50.25" customHeight="1" x14ac:dyDescent="0.25">
      <c r="A18" s="207" t="s">
        <v>149</v>
      </c>
      <c r="B18" s="133" t="s">
        <v>151</v>
      </c>
    </row>
    <row r="19" spans="1:2" ht="47.25" customHeight="1" x14ac:dyDescent="0.25">
      <c r="A19" s="207" t="s">
        <v>152</v>
      </c>
      <c r="B19" s="133" t="s">
        <v>153</v>
      </c>
    </row>
    <row r="20" spans="1:2" ht="31.5" customHeight="1" x14ac:dyDescent="0.25">
      <c r="A20" s="207" t="s">
        <v>45</v>
      </c>
      <c r="B20" s="133" t="s">
        <v>154</v>
      </c>
    </row>
    <row r="21" spans="1:2" ht="45.75" customHeight="1" x14ac:dyDescent="0.25">
      <c r="A21" s="207" t="s">
        <v>143</v>
      </c>
      <c r="B21" s="133" t="s">
        <v>246</v>
      </c>
    </row>
    <row r="22" spans="1:2" ht="15" customHeight="1" x14ac:dyDescent="0.25">
      <c r="A22" s="207" t="s">
        <v>11</v>
      </c>
      <c r="B22" s="133" t="s">
        <v>155</v>
      </c>
    </row>
    <row r="23" spans="1:2" ht="33" customHeight="1" x14ac:dyDescent="0.25">
      <c r="A23" s="207" t="s">
        <v>247</v>
      </c>
      <c r="B23" s="133" t="s">
        <v>156</v>
      </c>
    </row>
    <row r="24" spans="1:2" ht="32.25" customHeight="1" x14ac:dyDescent="0.25">
      <c r="A24" s="207" t="s">
        <v>248</v>
      </c>
      <c r="B24" s="133" t="s">
        <v>157</v>
      </c>
    </row>
    <row r="25" spans="1:2" ht="33.75" customHeight="1" x14ac:dyDescent="0.25">
      <c r="A25" s="207" t="s">
        <v>248</v>
      </c>
      <c r="B25" s="133" t="s">
        <v>157</v>
      </c>
    </row>
    <row r="26" spans="1:2" ht="31.5" customHeight="1" x14ac:dyDescent="0.25">
      <c r="A26" s="207" t="s">
        <v>249</v>
      </c>
      <c r="B26" s="133" t="s">
        <v>158</v>
      </c>
    </row>
    <row r="27" spans="1:2" ht="31.5" customHeight="1" x14ac:dyDescent="0.25">
      <c r="A27" s="207" t="s">
        <v>250</v>
      </c>
      <c r="B27" s="133" t="s">
        <v>159</v>
      </c>
    </row>
    <row r="28" spans="1:2" ht="31.5" customHeight="1" x14ac:dyDescent="0.25">
      <c r="A28" s="207" t="s">
        <v>251</v>
      </c>
      <c r="B28" s="133" t="s">
        <v>160</v>
      </c>
    </row>
    <row r="29" spans="1:2" ht="31.5" customHeight="1" x14ac:dyDescent="0.25">
      <c r="A29" s="207" t="s">
        <v>252</v>
      </c>
      <c r="B29" s="133" t="s">
        <v>161</v>
      </c>
    </row>
    <row r="30" spans="1:2" ht="48" customHeight="1" x14ac:dyDescent="0.25">
      <c r="A30" s="207" t="s">
        <v>162</v>
      </c>
      <c r="B30" s="133" t="s">
        <v>253</v>
      </c>
    </row>
    <row r="31" spans="1:2" ht="32.25" customHeight="1" x14ac:dyDescent="0.25">
      <c r="A31" s="207" t="s">
        <v>28</v>
      </c>
      <c r="B31" s="133" t="s">
        <v>163</v>
      </c>
    </row>
    <row r="32" spans="1:2" ht="80.25" customHeight="1" x14ac:dyDescent="0.25">
      <c r="A32" s="207" t="s">
        <v>254</v>
      </c>
      <c r="B32" s="133" t="s">
        <v>164</v>
      </c>
    </row>
    <row r="33" spans="1:2" ht="32.25" customHeight="1" x14ac:dyDescent="0.25">
      <c r="A33" s="207" t="s">
        <v>38</v>
      </c>
      <c r="B33" s="133" t="s">
        <v>165</v>
      </c>
    </row>
    <row r="34" spans="1:2" ht="15.75" x14ac:dyDescent="0.25">
      <c r="A34" s="204" t="s">
        <v>257</v>
      </c>
      <c r="B34" s="204" t="s">
        <v>257</v>
      </c>
    </row>
    <row r="35" spans="1:2" ht="33.75" customHeight="1" x14ac:dyDescent="0.25">
      <c r="A35" s="208" t="s">
        <v>398</v>
      </c>
      <c r="B35" s="208" t="s">
        <v>398</v>
      </c>
    </row>
    <row r="36" spans="1:2" ht="15" customHeight="1" x14ac:dyDescent="0.25">
      <c r="A36" s="208" t="s">
        <v>399</v>
      </c>
      <c r="B36" s="208" t="s">
        <v>399</v>
      </c>
    </row>
    <row r="37" spans="1:2" ht="15" customHeight="1" x14ac:dyDescent="0.25">
      <c r="A37" s="208" t="s">
        <v>400</v>
      </c>
      <c r="B37" s="208" t="s">
        <v>400</v>
      </c>
    </row>
    <row r="38" spans="1:2" ht="15" customHeight="1" x14ac:dyDescent="0.25">
      <c r="A38" s="208" t="s">
        <v>401</v>
      </c>
      <c r="B38" s="208" t="s">
        <v>401</v>
      </c>
    </row>
    <row r="39" spans="1:2" ht="15" customHeight="1" x14ac:dyDescent="0.25">
      <c r="A39" s="208" t="s">
        <v>402</v>
      </c>
      <c r="B39" s="208" t="s">
        <v>402</v>
      </c>
    </row>
    <row r="40" spans="1:2" s="82" customFormat="1" ht="62.25" customHeight="1" x14ac:dyDescent="0.25">
      <c r="A40" s="190" t="s">
        <v>263</v>
      </c>
      <c r="B40" s="190" t="s">
        <v>263</v>
      </c>
    </row>
    <row r="41" spans="1:2" ht="33" customHeight="1" x14ac:dyDescent="0.25">
      <c r="A41" s="190" t="s">
        <v>403</v>
      </c>
      <c r="B41" s="190" t="s">
        <v>256</v>
      </c>
    </row>
    <row r="42" spans="1:2" ht="33" customHeight="1" x14ac:dyDescent="0.25">
      <c r="A42" s="190" t="s">
        <v>386</v>
      </c>
      <c r="B42" s="190" t="s">
        <v>386</v>
      </c>
    </row>
    <row r="43" spans="1:2" x14ac:dyDescent="0.25">
      <c r="A43" s="83"/>
    </row>
  </sheetData>
  <mergeCells count="1">
    <mergeCell ref="C2:L2"/>
  </mergeCells>
  <printOptions horizontalCentered="1"/>
  <pageMargins left="0.78740157480314965" right="0.78740157480314965" top="0.78740157480314965" bottom="0.78740157480314965" header="0.31496062992125984" footer="0.31496062992125984"/>
  <pageSetup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opLeftCell="A2" zoomScaleNormal="100" workbookViewId="0">
      <selection activeCell="H18" sqref="H18"/>
    </sheetView>
  </sheetViews>
  <sheetFormatPr baseColWidth="10" defaultColWidth="11.42578125" defaultRowHeight="0" customHeight="1" zeroHeight="1" x14ac:dyDescent="0.25"/>
  <cols>
    <col min="1" max="1" width="84.140625" style="96" customWidth="1"/>
    <col min="2" max="3" width="30.7109375" style="96" customWidth="1"/>
    <col min="4" max="4" width="15.140625" style="96" customWidth="1"/>
    <col min="5" max="5" width="15.28515625" style="96" customWidth="1"/>
    <col min="6" max="6" width="6.42578125" style="96" customWidth="1"/>
    <col min="7" max="7" width="11.42578125" style="96"/>
    <col min="8" max="16384" width="11.42578125" style="197"/>
  </cols>
  <sheetData>
    <row r="1" spans="1:9" ht="50.25" customHeight="1" x14ac:dyDescent="0.25">
      <c r="A1" s="167"/>
      <c r="B1" s="150" t="s">
        <v>272</v>
      </c>
      <c r="C1" s="150" t="s">
        <v>272</v>
      </c>
    </row>
    <row r="2" spans="1:9" ht="15.75" x14ac:dyDescent="0.25">
      <c r="A2" s="126" t="s">
        <v>176</v>
      </c>
      <c r="B2" s="126" t="s">
        <v>202</v>
      </c>
      <c r="C2" s="126" t="s">
        <v>202</v>
      </c>
      <c r="E2" s="171" t="s">
        <v>199</v>
      </c>
      <c r="F2" s="170">
        <f>+COUNTA(#REF!)</f>
        <v>1</v>
      </c>
      <c r="G2" s="170" t="str">
        <f t="shared" ref="G2:G3" si="0">+IF(F2=0,"",IF(F2&gt;=12,"Catastrófico",IF(F2&gt;=6,"Mayor",IF(F2&lt;=5,"Moderado",""))))</f>
        <v>Moderado</v>
      </c>
      <c r="H2" s="198"/>
      <c r="I2" s="198"/>
    </row>
    <row r="3" spans="1:9" ht="18" customHeight="1" x14ac:dyDescent="0.25">
      <c r="A3" s="167" t="s">
        <v>195</v>
      </c>
      <c r="B3" s="126" t="s">
        <v>196</v>
      </c>
      <c r="C3" s="126" t="s">
        <v>197</v>
      </c>
      <c r="E3" s="171" t="s">
        <v>200</v>
      </c>
      <c r="F3" s="170">
        <f>+COUNTA(#REF!)</f>
        <v>1</v>
      </c>
      <c r="G3" s="170" t="str">
        <f t="shared" si="0"/>
        <v>Moderado</v>
      </c>
      <c r="H3" s="198"/>
      <c r="I3" s="198"/>
    </row>
    <row r="4" spans="1:9" ht="24" customHeight="1" x14ac:dyDescent="0.25">
      <c r="A4" s="167" t="s">
        <v>177</v>
      </c>
      <c r="B4" s="167" t="s">
        <v>198</v>
      </c>
      <c r="C4" s="167"/>
      <c r="E4" s="171" t="s">
        <v>201</v>
      </c>
      <c r="F4" s="170">
        <f>+COUNTA($B$4:$B$22)</f>
        <v>17</v>
      </c>
      <c r="G4" s="170"/>
      <c r="H4" s="198"/>
      <c r="I4" s="198"/>
    </row>
    <row r="5" spans="1:9" ht="24" customHeight="1" x14ac:dyDescent="0.25">
      <c r="A5" s="167" t="s">
        <v>178</v>
      </c>
      <c r="B5" s="167" t="s">
        <v>234</v>
      </c>
      <c r="C5" s="167"/>
      <c r="E5" s="171"/>
      <c r="F5" s="170"/>
      <c r="G5" s="170"/>
      <c r="H5" s="198"/>
      <c r="I5" s="198"/>
    </row>
    <row r="6" spans="1:9" ht="24" customHeight="1" x14ac:dyDescent="0.25">
      <c r="A6" s="167" t="s">
        <v>179</v>
      </c>
      <c r="B6" s="167" t="s">
        <v>198</v>
      </c>
      <c r="C6" s="167"/>
      <c r="E6" s="171"/>
      <c r="F6" s="170"/>
      <c r="G6" s="170"/>
      <c r="H6" s="198"/>
      <c r="I6" s="198"/>
    </row>
    <row r="7" spans="1:9" ht="24" customHeight="1" x14ac:dyDescent="0.25">
      <c r="A7" s="167" t="s">
        <v>180</v>
      </c>
      <c r="B7" s="167" t="s">
        <v>198</v>
      </c>
      <c r="C7" s="167"/>
      <c r="D7" s="177"/>
      <c r="E7" s="171"/>
      <c r="F7" s="170"/>
      <c r="G7" s="170"/>
      <c r="H7" s="198"/>
      <c r="I7" s="198"/>
    </row>
    <row r="8" spans="1:9" ht="24" customHeight="1" x14ac:dyDescent="0.25">
      <c r="A8" s="167" t="s">
        <v>345</v>
      </c>
      <c r="B8" s="167" t="s">
        <v>234</v>
      </c>
      <c r="C8" s="167" t="s">
        <v>198</v>
      </c>
      <c r="F8" s="170"/>
      <c r="G8" s="170"/>
    </row>
    <row r="9" spans="1:9" ht="24" customHeight="1" x14ac:dyDescent="0.25">
      <c r="A9" s="167" t="s">
        <v>181</v>
      </c>
      <c r="B9" s="167" t="s">
        <v>198</v>
      </c>
      <c r="C9" s="167"/>
      <c r="F9" s="170"/>
      <c r="G9" s="170"/>
    </row>
    <row r="10" spans="1:9" ht="24" customHeight="1" x14ac:dyDescent="0.25">
      <c r="A10" s="167" t="s">
        <v>182</v>
      </c>
      <c r="B10" s="167" t="s">
        <v>198</v>
      </c>
      <c r="C10" s="167"/>
      <c r="F10" s="170"/>
      <c r="G10" s="170"/>
    </row>
    <row r="11" spans="1:9" ht="31.5" customHeight="1" x14ac:dyDescent="0.25">
      <c r="A11" s="151" t="s">
        <v>183</v>
      </c>
      <c r="B11" s="167" t="s">
        <v>198</v>
      </c>
      <c r="C11" s="167"/>
      <c r="F11" s="170"/>
      <c r="G11" s="170"/>
    </row>
    <row r="12" spans="1:9" ht="24" customHeight="1" x14ac:dyDescent="0.25">
      <c r="A12" s="167" t="s">
        <v>184</v>
      </c>
      <c r="B12" s="167" t="s">
        <v>234</v>
      </c>
      <c r="C12" s="167"/>
      <c r="F12" s="170"/>
      <c r="G12" s="170"/>
    </row>
    <row r="13" spans="1:9" ht="24" customHeight="1" x14ac:dyDescent="0.25">
      <c r="A13" s="167" t="s">
        <v>185</v>
      </c>
      <c r="B13" s="167" t="s">
        <v>234</v>
      </c>
      <c r="C13" s="167"/>
    </row>
    <row r="14" spans="1:9" ht="24" customHeight="1" x14ac:dyDescent="0.25">
      <c r="A14" s="167" t="s">
        <v>186</v>
      </c>
      <c r="B14" s="167" t="s">
        <v>234</v>
      </c>
      <c r="C14" s="167"/>
    </row>
    <row r="15" spans="1:9" ht="24" customHeight="1" x14ac:dyDescent="0.25">
      <c r="A15" s="167" t="s">
        <v>187</v>
      </c>
      <c r="B15" s="167" t="s">
        <v>234</v>
      </c>
      <c r="C15" s="167"/>
    </row>
    <row r="16" spans="1:9" ht="24" customHeight="1" x14ac:dyDescent="0.25">
      <c r="A16" s="167" t="s">
        <v>188</v>
      </c>
      <c r="B16" s="167" t="s">
        <v>234</v>
      </c>
      <c r="C16" s="167"/>
    </row>
    <row r="17" spans="1:4" ht="24" customHeight="1" x14ac:dyDescent="0.25">
      <c r="A17" s="167" t="s">
        <v>189</v>
      </c>
      <c r="B17" s="167" t="s">
        <v>234</v>
      </c>
      <c r="C17" s="167"/>
    </row>
    <row r="18" spans="1:4" ht="24" customHeight="1" x14ac:dyDescent="0.25">
      <c r="A18" s="167" t="s">
        <v>190</v>
      </c>
      <c r="B18" s="167" t="s">
        <v>234</v>
      </c>
      <c r="C18" s="167"/>
    </row>
    <row r="19" spans="1:4" ht="24" customHeight="1" x14ac:dyDescent="0.25">
      <c r="A19" s="167" t="s">
        <v>191</v>
      </c>
      <c r="B19" s="167"/>
      <c r="C19" s="167"/>
    </row>
    <row r="20" spans="1:4" ht="24" customHeight="1" x14ac:dyDescent="0.25">
      <c r="A20" s="167" t="s">
        <v>192</v>
      </c>
      <c r="B20" s="167" t="s">
        <v>234</v>
      </c>
      <c r="C20" s="167"/>
    </row>
    <row r="21" spans="1:4" ht="24" customHeight="1" x14ac:dyDescent="0.25">
      <c r="A21" s="167" t="s">
        <v>193</v>
      </c>
      <c r="B21" s="167" t="s">
        <v>234</v>
      </c>
      <c r="C21" s="167"/>
    </row>
    <row r="22" spans="1:4" ht="24" customHeight="1" x14ac:dyDescent="0.25">
      <c r="A22" s="167" t="s">
        <v>194</v>
      </c>
      <c r="B22" s="167"/>
      <c r="C22" s="167"/>
    </row>
    <row r="23" spans="1:4" ht="24" customHeight="1" x14ac:dyDescent="0.25">
      <c r="A23" s="167" t="s">
        <v>393</v>
      </c>
      <c r="B23" s="200">
        <f>COUNTIF(B4:B22,"x")</f>
        <v>17</v>
      </c>
      <c r="C23" s="150"/>
      <c r="D23" s="201" t="str">
        <f>+IF(F4=0,"",IF(F4&gt;=12,"Catastrófico",IF(F4&gt;=6,"Mayor",IF(F4&lt;=5,"Moderado",""))))</f>
        <v>Catastrófico</v>
      </c>
    </row>
    <row r="24" spans="1:4" ht="172.5" customHeight="1" x14ac:dyDescent="0.25">
      <c r="A24" s="152" t="s">
        <v>263</v>
      </c>
      <c r="B24" s="152" t="s">
        <v>263</v>
      </c>
      <c r="C24" s="152" t="s">
        <v>263</v>
      </c>
    </row>
    <row r="25" spans="1:4" ht="33" customHeight="1" x14ac:dyDescent="0.25">
      <c r="A25" s="151" t="s">
        <v>392</v>
      </c>
      <c r="B25" s="151" t="s">
        <v>389</v>
      </c>
      <c r="C25" s="199" t="s">
        <v>385</v>
      </c>
    </row>
    <row r="26" spans="1:4" ht="33" customHeight="1" x14ac:dyDescent="0.25">
      <c r="A26" s="152" t="s">
        <v>386</v>
      </c>
      <c r="B26" s="152" t="s">
        <v>386</v>
      </c>
      <c r="C26" s="152" t="s">
        <v>386</v>
      </c>
    </row>
    <row r="27" spans="1:4" ht="15" hidden="1" customHeight="1" x14ac:dyDescent="0.25"/>
    <row r="28" spans="1:4" ht="15" hidden="1" x14ac:dyDescent="0.25"/>
    <row r="29" spans="1:4" ht="15" hidden="1" x14ac:dyDescent="0.25"/>
    <row r="30" spans="1:4" ht="15" hidden="1" x14ac:dyDescent="0.25"/>
    <row r="31" spans="1:4" ht="15" hidden="1" x14ac:dyDescent="0.25"/>
    <row r="32" spans="1:4" ht="15" hidden="1" x14ac:dyDescent="0.25"/>
    <row r="33" ht="15" hidden="1" x14ac:dyDescent="0.25"/>
    <row r="34" ht="15" hidden="1" x14ac:dyDescent="0.25"/>
    <row r="35" ht="15" hidden="1" x14ac:dyDescent="0.25"/>
  </sheetData>
  <hyperlinks>
    <hyperlink ref="C25" r:id="rId1"/>
  </hyperlinks>
  <pageMargins left="0.7" right="0.7" top="0.75" bottom="0.75" header="0.3" footer="0.3"/>
  <pageSetup scale="65"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'Z:\PLANEACION 20-21-22\RIESGOS ok\RIESGOS 2021\MAPAS RIESGOS INST Y CORR 2021\[Mapa de Riesgos de Corrupción 2021 V3 02-09-2021.xlsx]Instructivo'!#REF!</xm:f>
          </x14:formula1>
          <xm:sqref>C23</xm:sqref>
        </x14:dataValidation>
        <x14:dataValidation type="list" allowBlank="1" showInputMessage="1">
          <x14:formula1>
            <xm:f>'Z:\PLANEACION 20-21-22\RIESGOS ok\RIESGOS 2021\MAPAS RIESGOS INST Y CORR 2021\[Mapa de Riesgos de Corrupción 2021 V3 02-09-2021.xlsx]Instructivo'!#REF!</xm:f>
          </x14:formula1>
          <xm:sqref>B4:C22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A66"/>
  <sheetViews>
    <sheetView topLeftCell="A14" zoomScale="90" zoomScaleNormal="90" workbookViewId="0">
      <selection activeCell="B16" sqref="B16:B21"/>
    </sheetView>
  </sheetViews>
  <sheetFormatPr baseColWidth="10" defaultRowHeight="16.5" x14ac:dyDescent="0.3"/>
  <cols>
    <col min="1" max="1" width="4" style="2" bestFit="1" customWidth="1"/>
    <col min="2" max="2" width="58.42578125" style="80" customWidth="1"/>
    <col min="3" max="3" width="53" style="80" customWidth="1"/>
    <col min="4" max="4" width="14.140625" style="2" customWidth="1"/>
    <col min="5" max="5" width="16.140625" style="2" customWidth="1"/>
    <col min="6" max="6" width="17.42578125" style="2" customWidth="1"/>
    <col min="7" max="7" width="32.42578125" style="1" customWidth="1"/>
    <col min="8" max="10" width="19" style="4" customWidth="1"/>
    <col min="11" max="11" width="64.7109375" style="1" customWidth="1"/>
    <col min="12" max="12" width="16.5703125" style="1" customWidth="1"/>
    <col min="13" max="13" width="6.28515625" style="1" bestFit="1" customWidth="1"/>
    <col min="14" max="14" width="27.28515625" style="1" bestFit="1" customWidth="1"/>
    <col min="15" max="15" width="30.5703125" style="1" hidden="1" customWidth="1"/>
    <col min="16" max="16" width="17.5703125" style="1" customWidth="1"/>
    <col min="17" max="17" width="6.28515625" style="1" bestFit="1" customWidth="1"/>
    <col min="18" max="18" width="30.5703125" style="1" customWidth="1"/>
    <col min="19" max="19" width="5.85546875" style="1" customWidth="1"/>
    <col min="20" max="20" width="31" style="1" customWidth="1"/>
    <col min="21" max="21" width="6.85546875" style="1" customWidth="1"/>
    <col min="22" max="22" width="5" style="1" customWidth="1"/>
    <col min="23" max="23" width="5.5703125" style="1" customWidth="1"/>
    <col min="24" max="24" width="7.140625" style="1" customWidth="1"/>
    <col min="25" max="25" width="6.7109375" style="1" customWidth="1"/>
    <col min="26" max="26" width="7.5703125" style="1" customWidth="1"/>
    <col min="27" max="28" width="38.28515625" style="1" customWidth="1"/>
    <col min="29" max="29" width="19" style="1" customWidth="1"/>
    <col min="30" max="30" width="43.140625" style="1" customWidth="1"/>
    <col min="31" max="31" width="9.7109375" style="1" customWidth="1"/>
    <col min="32" max="32" width="29.28515625" style="1" customWidth="1"/>
    <col min="33" max="33" width="8.7109375" style="1" customWidth="1"/>
    <col min="34" max="34" width="10.42578125" style="1" customWidth="1"/>
    <col min="35" max="35" width="9.28515625" style="1" customWidth="1"/>
    <col min="36" max="36" width="9.140625" style="1" customWidth="1"/>
    <col min="37" max="37" width="8.42578125" style="1" customWidth="1"/>
    <col min="38" max="38" width="7.28515625" style="1" customWidth="1"/>
    <col min="39" max="39" width="23" style="1" customWidth="1"/>
    <col min="40" max="40" width="18.85546875" style="1" customWidth="1"/>
    <col min="41" max="41" width="43.85546875" style="79" customWidth="1"/>
    <col min="42" max="42" width="37.28515625" style="79" customWidth="1"/>
    <col min="43" max="43" width="48.85546875" style="79" customWidth="1"/>
    <col min="44" max="44" width="16.85546875" style="1" customWidth="1"/>
    <col min="45" max="45" width="14.85546875" style="1" customWidth="1"/>
    <col min="46" max="46" width="18.5703125" style="1" customWidth="1"/>
    <col min="47" max="47" width="21" style="1" customWidth="1"/>
    <col min="48" max="16384" width="11.42578125" style="1"/>
  </cols>
  <sheetData>
    <row r="1" spans="1:79" ht="36.75" customHeight="1" x14ac:dyDescent="0.3">
      <c r="A1" s="59"/>
      <c r="B1" s="60" t="s">
        <v>204</v>
      </c>
      <c r="C1" s="243" t="s">
        <v>123</v>
      </c>
      <c r="D1" s="242"/>
      <c r="E1" s="242"/>
      <c r="F1" s="242"/>
      <c r="G1" s="242"/>
      <c r="H1" s="242"/>
      <c r="I1" s="242"/>
      <c r="J1" s="242"/>
      <c r="K1" s="244"/>
      <c r="L1" s="243" t="s">
        <v>124</v>
      </c>
      <c r="M1" s="242"/>
      <c r="N1" s="242"/>
      <c r="O1" s="242"/>
      <c r="P1" s="242"/>
      <c r="Q1" s="242"/>
      <c r="R1" s="244"/>
      <c r="S1" s="243" t="s">
        <v>125</v>
      </c>
      <c r="T1" s="242"/>
      <c r="U1" s="242"/>
      <c r="V1" s="242"/>
      <c r="W1" s="242"/>
      <c r="X1" s="242"/>
      <c r="Y1" s="242"/>
      <c r="Z1" s="242"/>
      <c r="AA1" s="242"/>
      <c r="AB1" s="242"/>
      <c r="AC1" s="242"/>
      <c r="AD1" s="242"/>
      <c r="AE1" s="242"/>
      <c r="AF1" s="242"/>
      <c r="AG1" s="242" t="s">
        <v>126</v>
      </c>
      <c r="AH1" s="242"/>
      <c r="AI1" s="242"/>
      <c r="AJ1" s="242"/>
      <c r="AK1" s="242"/>
      <c r="AL1" s="61"/>
      <c r="AM1" s="243" t="s">
        <v>33</v>
      </c>
      <c r="AN1" s="242"/>
      <c r="AO1" s="242"/>
      <c r="AP1" s="242"/>
      <c r="AQ1" s="242"/>
      <c r="AR1" s="242"/>
      <c r="AS1" s="242"/>
      <c r="AT1" s="242"/>
      <c r="AU1" s="244"/>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row>
    <row r="2" spans="1:79" ht="16.5" customHeight="1" x14ac:dyDescent="0.3">
      <c r="A2" s="245" t="s">
        <v>0</v>
      </c>
      <c r="B2" s="247" t="s">
        <v>205</v>
      </c>
      <c r="C2" s="248" t="s">
        <v>206</v>
      </c>
      <c r="D2" s="250" t="s">
        <v>2</v>
      </c>
      <c r="E2" s="249" t="s">
        <v>207</v>
      </c>
      <c r="F2" s="248" t="s">
        <v>208</v>
      </c>
      <c r="G2" s="252" t="s">
        <v>1</v>
      </c>
      <c r="H2" s="248" t="s">
        <v>47</v>
      </c>
      <c r="I2" s="253" t="s">
        <v>12</v>
      </c>
      <c r="J2" s="253" t="s">
        <v>209</v>
      </c>
      <c r="K2" s="249" t="s">
        <v>119</v>
      </c>
      <c r="L2" s="259" t="s">
        <v>32</v>
      </c>
      <c r="M2" s="261" t="s">
        <v>5</v>
      </c>
      <c r="N2" s="263" t="s">
        <v>74</v>
      </c>
      <c r="O2" s="263" t="s">
        <v>77</v>
      </c>
      <c r="P2" s="264" t="s">
        <v>42</v>
      </c>
      <c r="Q2" s="261" t="s">
        <v>5</v>
      </c>
      <c r="R2" s="260" t="s">
        <v>45</v>
      </c>
      <c r="S2" s="279" t="s">
        <v>10</v>
      </c>
      <c r="T2" s="254" t="s">
        <v>143</v>
      </c>
      <c r="U2" s="255" t="s">
        <v>7</v>
      </c>
      <c r="V2" s="256"/>
      <c r="W2" s="256"/>
      <c r="X2" s="256"/>
      <c r="Y2" s="256"/>
      <c r="Z2" s="256"/>
      <c r="AA2" s="256"/>
      <c r="AB2" s="256"/>
      <c r="AC2" s="256"/>
      <c r="AD2" s="256"/>
      <c r="AE2" s="256"/>
      <c r="AF2" s="257"/>
      <c r="AG2" s="258" t="s">
        <v>43</v>
      </c>
      <c r="AH2" s="258" t="s">
        <v>5</v>
      </c>
      <c r="AI2" s="258" t="s">
        <v>44</v>
      </c>
      <c r="AJ2" s="258" t="s">
        <v>5</v>
      </c>
      <c r="AK2" s="258" t="s">
        <v>46</v>
      </c>
      <c r="AL2" s="279" t="s">
        <v>28</v>
      </c>
      <c r="AM2" s="254" t="s">
        <v>33</v>
      </c>
      <c r="AN2" s="263" t="s">
        <v>34</v>
      </c>
      <c r="AO2" s="277" t="s">
        <v>210</v>
      </c>
      <c r="AP2" s="277" t="s">
        <v>211</v>
      </c>
      <c r="AQ2" s="277" t="s">
        <v>212</v>
      </c>
      <c r="AR2" s="254" t="s">
        <v>35</v>
      </c>
      <c r="AS2" s="254" t="s">
        <v>37</v>
      </c>
      <c r="AT2" s="254" t="s">
        <v>36</v>
      </c>
      <c r="AU2" s="254" t="s">
        <v>38</v>
      </c>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row>
    <row r="3" spans="1:79" s="3" customFormat="1" ht="108.75" customHeight="1" x14ac:dyDescent="0.25">
      <c r="A3" s="246"/>
      <c r="B3" s="247"/>
      <c r="C3" s="249"/>
      <c r="D3" s="250"/>
      <c r="E3" s="251"/>
      <c r="F3" s="249"/>
      <c r="G3" s="250"/>
      <c r="H3" s="249"/>
      <c r="I3" s="253"/>
      <c r="J3" s="253" t="s">
        <v>209</v>
      </c>
      <c r="K3" s="251"/>
      <c r="L3" s="260"/>
      <c r="M3" s="262"/>
      <c r="N3" s="260"/>
      <c r="O3" s="260"/>
      <c r="P3" s="262"/>
      <c r="Q3" s="262"/>
      <c r="R3" s="254"/>
      <c r="S3" s="280"/>
      <c r="T3" s="254"/>
      <c r="U3" s="62" t="s">
        <v>12</v>
      </c>
      <c r="V3" s="62" t="s">
        <v>16</v>
      </c>
      <c r="W3" s="62" t="s">
        <v>27</v>
      </c>
      <c r="X3" s="62" t="s">
        <v>17</v>
      </c>
      <c r="Y3" s="62" t="s">
        <v>20</v>
      </c>
      <c r="Z3" s="62" t="s">
        <v>23</v>
      </c>
      <c r="AA3" s="63" t="s">
        <v>122</v>
      </c>
      <c r="AB3" s="62" t="s">
        <v>11</v>
      </c>
      <c r="AC3" s="64" t="s">
        <v>213</v>
      </c>
      <c r="AD3" s="64" t="s">
        <v>34</v>
      </c>
      <c r="AE3" s="64" t="s">
        <v>214</v>
      </c>
      <c r="AF3" s="64" t="s">
        <v>215</v>
      </c>
      <c r="AG3" s="258"/>
      <c r="AH3" s="258"/>
      <c r="AI3" s="258"/>
      <c r="AJ3" s="258"/>
      <c r="AK3" s="258"/>
      <c r="AL3" s="280"/>
      <c r="AM3" s="254"/>
      <c r="AN3" s="260"/>
      <c r="AO3" s="278"/>
      <c r="AP3" s="278"/>
      <c r="AQ3" s="278"/>
      <c r="AR3" s="254"/>
      <c r="AS3" s="254"/>
      <c r="AT3" s="254"/>
      <c r="AU3" s="254"/>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row>
    <row r="4" spans="1:79" s="71" customFormat="1" ht="108.75" customHeight="1" x14ac:dyDescent="0.25">
      <c r="A4" s="265">
        <v>1</v>
      </c>
      <c r="B4" s="268" t="s">
        <v>233</v>
      </c>
      <c r="C4" s="268" t="s">
        <v>216</v>
      </c>
      <c r="D4" s="271" t="s">
        <v>116</v>
      </c>
      <c r="E4" s="271" t="s">
        <v>217</v>
      </c>
      <c r="F4" s="271" t="s">
        <v>218</v>
      </c>
      <c r="G4" s="274" t="s">
        <v>219</v>
      </c>
      <c r="H4" s="271" t="s">
        <v>113</v>
      </c>
      <c r="I4" s="271" t="s">
        <v>220</v>
      </c>
      <c r="J4" s="271" t="s">
        <v>221</v>
      </c>
      <c r="K4" s="265" t="s">
        <v>89</v>
      </c>
      <c r="L4" s="281" t="str">
        <f>IF(K4&lt;=0,"",IF(K4&lt;="La actividad que conlleva el riesgo se ejecuta como máximos 2 veces por año","Muy Baja",IF(K4="La actividad que conlleva el riesgo se ejecuta de 3 a 24 veces por año","Baja",IF(K4="La actividad que conlleva el riesgo se ejecuta de 24 a 500 veces por año","Media",IF(K4="La actividad que conlleva el riesgo se ejecuta mínimo 500 veces al año y máximo 5000 veces por año","Alta","Muy Alta")))))</f>
        <v>Media</v>
      </c>
      <c r="M4" s="284">
        <f>IF(L4="","",IF(L4="Muy Baja",0.2,IF(L4="Baja",0.4,IF(L4="Media",0.6,IF(L4="Alta",0.8,IF(L4="Muy Alta",1,))))))</f>
        <v>0.6</v>
      </c>
      <c r="N4" s="290" t="s">
        <v>137</v>
      </c>
      <c r="O4" s="284" t="str">
        <f>IF(NOT(ISERROR(MATCH(N4,'[1]Tabla Impacto'!$B$221:$B$223,0))),'[1]Tabla Impacto'!$F$223&amp;"Por favor no seleccionar los criterios de impacto(Afectación Económica o presupuestal y Pérdida Reputacional)",N4)</f>
        <v xml:space="preserve">     El riesgo afecta la imagen de la entidad con algunos usuarios de relevancia frente al logro de los objetivos</v>
      </c>
      <c r="P4" s="281" t="str">
        <f>IF(OR(O4='[1]Tabla Impacto'!$C$11,O4='[1]Tabla Impacto'!$D$11),"Leve",IF(OR(O4='[1]Tabla Impacto'!$C$12,O4='[1]Tabla Impacto'!$D$12),"Menor",IF(OR(O4='[1]Tabla Impacto'!$C$13,O4='[1]Tabla Impacto'!$D$13),"Moderado",IF(OR(O4='[1]Tabla Impacto'!$C$14,O4='[1]Tabla Impacto'!$D$14),"Mayor",IF(OR(O4='[1]Tabla Impacto'!$C$15,O4='[1]Tabla Impacto'!$D$15),"Catastrófico","")))))</f>
        <v>Moderado</v>
      </c>
      <c r="Q4" s="284">
        <f>IF(P4="","",IF(P4="Leve",0.2,IF(P4="Menor",0.4,IF(P4="Moderado",0.6,IF(P4="Mayor",0.8,IF(P4="Catastrófico",1,))))))</f>
        <v>0.6</v>
      </c>
      <c r="R4" s="287" t="str">
        <f>IF(OR(AND(L4="Muy Baja",P4="Leve"),AND(L4="Muy Baja",P4="Menor"),AND(L4="Baja",P4="Leve")),"Bajo",IF(OR(AND(L4="Muy baja",P4="Moderado"),AND(L4="Baja",P4="Menor"),AND(L4="Baja",P4="Moderado"),AND(L4="Media",P4="Leve"),AND(L4="Media",P4="Menor"),AND(L4="Media",P4="Moderado"),AND(L4="Alta",P4="Leve"),AND(L4="Alta",P4="Menor")),"Moderado",IF(OR(AND(L4="Muy Baja",P4="Mayor"),AND(L4="Baja",P4="Mayor"),AND(L4="Media",P4="Mayor"),AND(L4="Alta",P4="Moderado"),AND(L4="Alta",P4="Mayor"),AND(L4="Muy Alta",P4="Leve"),AND(L4="Muy Alta",P4="Menor"),AND(L4="Muy Alta",P4="Moderado"),AND(L4="Muy Alta",P4="Mayor")),"Alto",IF(OR(AND(L4="Muy Baja",P4="Catastrófico"),AND(L4="Baja",P4="Catastrófico"),AND(L4="Media",P4="Catastrófico"),AND(L4="Alta",P4="Catastrófico"),AND(L4="Muy Alta",P4="Catastrófico")),"Extremo",""))))</f>
        <v>Moderado</v>
      </c>
      <c r="S4" s="57">
        <v>1</v>
      </c>
      <c r="T4" s="65" t="s">
        <v>222</v>
      </c>
      <c r="U4" s="51" t="s">
        <v>13</v>
      </c>
      <c r="V4" s="51" t="s">
        <v>9</v>
      </c>
      <c r="W4" s="66" t="str">
        <f t="shared" ref="W4:W35" si="0">IF(AND(U4="Preventivo",V4="Automático"),"50%",IF(AND(U4="Preventivo",V4="Manual"),"40%",IF(AND(U4="Detectivo",V4="Automático"),"40%",IF(AND(U4="Detectivo",V4="Manual"),"30%",IF(AND(U4="Correctivo",V4="Automático"),"35%",IF(AND(U4="Correctivo",V4="Manual"),"25%",""))))))</f>
        <v>50%</v>
      </c>
      <c r="X4" s="51" t="s">
        <v>18</v>
      </c>
      <c r="Y4" s="51" t="s">
        <v>22</v>
      </c>
      <c r="Z4" s="51" t="s">
        <v>104</v>
      </c>
      <c r="AA4" s="67">
        <f>IFERROR(IF(AB4="Probabilidad",(M4-(+M4*W4)),IF(AB4="Impacto",M4,"")),"")</f>
        <v>0.3</v>
      </c>
      <c r="AB4" s="68" t="str">
        <f>IF(OR(U4="Preventivo",U4="Detectivo"),"Probabilidad",IF(U4="Correctivo","Impacto",""))</f>
        <v>Probabilidad</v>
      </c>
      <c r="AC4" s="67" t="s">
        <v>223</v>
      </c>
      <c r="AD4" s="67" t="s">
        <v>224</v>
      </c>
      <c r="AE4" s="67" t="s">
        <v>225</v>
      </c>
      <c r="AF4" s="67" t="s">
        <v>226</v>
      </c>
      <c r="AG4" s="52" t="str">
        <f>IFERROR(IF(AA4="","",IF(AA4&lt;=0.2,"Muy Baja",IF(AA4&lt;=0.4,"Baja",IF(AA4&lt;=0.6,"Media",IF(AA4&lt;=0.8,"Alta","Muy Alta"))))),"")</f>
        <v>Baja</v>
      </c>
      <c r="AH4" s="53">
        <f t="shared" ref="AH4:AH63" si="1">+AA4</f>
        <v>0.3</v>
      </c>
      <c r="AI4" s="52" t="str">
        <f>IFERROR(IF(AJ4="","",IF(AJ4&lt;=0.2,"Leve",IF(AJ4&lt;=0.4,"Menor",IF(AJ4&lt;=0.6,"Moderado",IF(AJ4&lt;=0.8,"Mayor","Catastrófico"))))),"")</f>
        <v>Moderado</v>
      </c>
      <c r="AJ4" s="53">
        <f>IFERROR(IF(AB4="Impacto",(Q4-(+Q4*W4)),IF(AB4="Probabilidad",Q4,"")),"")</f>
        <v>0.6</v>
      </c>
      <c r="AK4" s="54" t="str">
        <f t="shared" ref="AK4:AK35" si="2">IFERROR(IF(OR(AND(AG4="Muy Baja",AI4="Leve"),AND(AG4="Muy Baja",AI4="Menor"),AND(AG4="Baja",AI4="Leve")),"Bajo",IF(OR(AND(AG4="Muy baja",AI4="Moderado"),AND(AG4="Baja",AI4="Menor"),AND(AG4="Baja",AI4="Moderado"),AND(AG4="Media",AI4="Leve"),AND(AG4="Media",AI4="Menor"),AND(AG4="Media",AI4="Moderado"),AND(AG4="Alta",AI4="Leve"),AND(AG4="Alta",AI4="Menor")),"Moderado",IF(OR(AND(AG4="Muy Baja",AI4="Mayor"),AND(AG4="Baja",AI4="Mayor"),AND(AG4="Media",AI4="Mayor"),AND(AG4="Alta",AI4="Moderado"),AND(AG4="Alta",AI4="Mayor"),AND(AG4="Muy Alta",AI4="Leve"),AND(AG4="Muy Alta",AI4="Menor"),AND(AG4="Muy Alta",AI4="Moderado"),AND(AG4="Muy Alta",AI4="Mayor")),"Alto",IF(OR(AND(AG4="Muy Baja",AI4="Catastrófico"),AND(AG4="Baja",AI4="Catastrófico"),AND(AG4="Media",AI4="Catastrófico"),AND(AG4="Alta",AI4="Catastrófico"),AND(AG4="Muy Alta",AI4="Catastrófico")),"Extremo","")))),"")</f>
        <v>Moderado</v>
      </c>
      <c r="AL4" s="55" t="s">
        <v>120</v>
      </c>
      <c r="AM4" s="56" t="s">
        <v>227</v>
      </c>
      <c r="AN4" s="57" t="s">
        <v>228</v>
      </c>
      <c r="AO4" s="69" t="s">
        <v>229</v>
      </c>
      <c r="AP4" s="69" t="s">
        <v>230</v>
      </c>
      <c r="AQ4" s="69" t="s">
        <v>231</v>
      </c>
      <c r="AR4" s="58" t="s">
        <v>232</v>
      </c>
      <c r="AS4" s="58" t="s">
        <v>232</v>
      </c>
      <c r="AT4" s="56" t="s">
        <v>203</v>
      </c>
      <c r="AU4" s="57" t="s">
        <v>40</v>
      </c>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row>
    <row r="5" spans="1:79" ht="45.75" customHeight="1" x14ac:dyDescent="0.3">
      <c r="A5" s="266"/>
      <c r="B5" s="269"/>
      <c r="C5" s="269"/>
      <c r="D5" s="272"/>
      <c r="E5" s="272"/>
      <c r="F5" s="272"/>
      <c r="G5" s="275"/>
      <c r="H5" s="272"/>
      <c r="I5" s="272"/>
      <c r="J5" s="272"/>
      <c r="K5" s="266"/>
      <c r="L5" s="282"/>
      <c r="M5" s="285"/>
      <c r="N5" s="291"/>
      <c r="O5" s="285">
        <f ca="1">IF(NOT(ISERROR(MATCH(N5,_xlfn.ANCHORARRAY(G16),0))),M18&amp;"Por favor no seleccionar los criterios de impacto",N5)</f>
        <v>0</v>
      </c>
      <c r="P5" s="282"/>
      <c r="Q5" s="285"/>
      <c r="R5" s="288"/>
      <c r="S5" s="72">
        <v>2</v>
      </c>
      <c r="T5" s="65"/>
      <c r="U5" s="51"/>
      <c r="V5" s="51"/>
      <c r="W5" s="73" t="str">
        <f t="shared" si="0"/>
        <v/>
      </c>
      <c r="X5" s="74"/>
      <c r="Y5" s="74"/>
      <c r="Z5" s="74"/>
      <c r="AA5" s="75" t="str">
        <f>IFERROR(IF(AND(AB4="Probabilidad",AB5="Probabilidad"),(AH4-(+AH4*W5)),IF(AB5="Probabilidad",(M4-(+M4*W5)),IF(AB5="Impacto",AH4,""))),"")</f>
        <v/>
      </c>
      <c r="AB5" s="68" t="str">
        <f t="shared" ref="AB5:AB63" si="3">IF(OR(U5="Preventivo",U5="Detectivo"),"Probabilidad",IF(U5="Correctivo","Impacto",""))</f>
        <v/>
      </c>
      <c r="AC5" s="67"/>
      <c r="AD5" s="67"/>
      <c r="AE5" s="67"/>
      <c r="AF5" s="67"/>
      <c r="AG5" s="52" t="str">
        <f>IFERROR(IF(AA5="","",IF(AA5&lt;=0.2,"Muy Baja",IF(AA5&lt;=0.4,"Baja",IF(AA5&lt;=0.6,"Media",IF(AA5&lt;=0.8,"Alta","Muy Alta"))))),"")</f>
        <v/>
      </c>
      <c r="AH5" s="53" t="str">
        <f t="shared" si="1"/>
        <v/>
      </c>
      <c r="AI5" s="52" t="str">
        <f>IFERROR(IF(AJ5="","",IF(AJ5&lt;=0.2,"Leve",IF(AJ5&lt;=0.4,"Menor",IF(AJ5&lt;=0.6,"Moderado",IF(AJ5&lt;=0.8,"Mayor","Catastrófico"))))),"")</f>
        <v/>
      </c>
      <c r="AJ5" s="53" t="str">
        <f>IFERROR(IF(AND(AB4="Impacto",AB5="Impacto"),(AJ4-(+AJ4*W5)),IF(AB5="Impacto",($Q$4-(+$Q$4*AB5)),IF(AB5="Probabilidad",AJ4,""))),"")</f>
        <v/>
      </c>
      <c r="AK5" s="54" t="str">
        <f t="shared" si="2"/>
        <v/>
      </c>
      <c r="AL5" s="55"/>
      <c r="AM5" s="56"/>
      <c r="AN5" s="57"/>
      <c r="AO5" s="69"/>
      <c r="AP5" s="69"/>
      <c r="AQ5" s="69"/>
      <c r="AR5" s="58"/>
      <c r="AS5" s="58"/>
      <c r="AT5" s="56"/>
      <c r="AU5" s="57"/>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79" ht="45.75" customHeight="1" x14ac:dyDescent="0.3">
      <c r="A6" s="266"/>
      <c r="B6" s="269"/>
      <c r="C6" s="269"/>
      <c r="D6" s="272"/>
      <c r="E6" s="272"/>
      <c r="F6" s="272"/>
      <c r="G6" s="275"/>
      <c r="H6" s="272"/>
      <c r="I6" s="272"/>
      <c r="J6" s="272"/>
      <c r="K6" s="266"/>
      <c r="L6" s="282"/>
      <c r="M6" s="285"/>
      <c r="N6" s="291"/>
      <c r="O6" s="285">
        <f ca="1">IF(NOT(ISERROR(MATCH(N6,_xlfn.ANCHORARRAY(G17),0))),M19&amp;"Por favor no seleccionar los criterios de impacto",N6)</f>
        <v>0</v>
      </c>
      <c r="P6" s="282"/>
      <c r="Q6" s="285"/>
      <c r="R6" s="288"/>
      <c r="S6" s="72">
        <v>3</v>
      </c>
      <c r="T6" s="65"/>
      <c r="U6" s="51"/>
      <c r="V6" s="51"/>
      <c r="W6" s="73" t="str">
        <f t="shared" si="0"/>
        <v/>
      </c>
      <c r="X6" s="74"/>
      <c r="Y6" s="74"/>
      <c r="Z6" s="74"/>
      <c r="AA6" s="75" t="str">
        <f>IFERROR(IF(AND(AB5="Probabilidad",AB6="Probabilidad"),(AH5-(+AH5*W6)),IF(AB6="Probabilidad",(M5-(+M5*W6)),IF(AB6="Impacto",AH5,""))),"")</f>
        <v/>
      </c>
      <c r="AB6" s="68" t="str">
        <f t="shared" si="3"/>
        <v/>
      </c>
      <c r="AC6" s="67"/>
      <c r="AD6" s="67"/>
      <c r="AE6" s="67"/>
      <c r="AF6" s="67"/>
      <c r="AG6" s="52" t="str">
        <f>IFERROR(IF(AA6="","",IF(AA6&lt;=0.2,"Muy Baja",IF(AA6&lt;=0.4,"Baja",IF(AA6&lt;=0.6,"Media",IF(AA6&lt;=0.8,"Alta","Muy Alta"))))),"")</f>
        <v/>
      </c>
      <c r="AH6" s="76" t="str">
        <f t="shared" si="1"/>
        <v/>
      </c>
      <c r="AI6" s="52" t="str">
        <f>IFERROR(IF(AJ6="","",IF(AJ6&lt;=0.2,"Leve",IF(AJ6&lt;=0.4,"Menor",IF(AJ6&lt;=0.6,"Moderado",IF(AJ6&lt;=0.8,"Mayor","Catastrófico"))))),"")</f>
        <v/>
      </c>
      <c r="AJ6" s="53" t="str">
        <f>IFERROR(IF(AND(AB5="Impacto",AB6="Impacto"),(AJ5-(+AJ5*W6)),IF(AND(AB5="Probabilidad",AB6="Impacto"),(AJ4-(+AJ4*W6)),IF(AB6="Probabilidad",AJ5,""))),"")</f>
        <v/>
      </c>
      <c r="AK6" s="54" t="str">
        <f t="shared" si="2"/>
        <v/>
      </c>
      <c r="AL6" s="55"/>
      <c r="AM6" s="56"/>
      <c r="AN6" s="57"/>
      <c r="AO6" s="69"/>
      <c r="AP6" s="69"/>
      <c r="AQ6" s="69"/>
      <c r="AR6" s="58"/>
      <c r="AS6" s="58"/>
      <c r="AT6" s="56"/>
      <c r="AU6" s="57"/>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row>
    <row r="7" spans="1:79" ht="45.75" customHeight="1" x14ac:dyDescent="0.3">
      <c r="A7" s="266"/>
      <c r="B7" s="269"/>
      <c r="C7" s="269"/>
      <c r="D7" s="272"/>
      <c r="E7" s="272"/>
      <c r="F7" s="272"/>
      <c r="G7" s="275"/>
      <c r="H7" s="272"/>
      <c r="I7" s="272"/>
      <c r="J7" s="272"/>
      <c r="K7" s="266"/>
      <c r="L7" s="282"/>
      <c r="M7" s="285"/>
      <c r="N7" s="291"/>
      <c r="O7" s="285">
        <f ca="1">IF(NOT(ISERROR(MATCH(N7,_xlfn.ANCHORARRAY(G18),0))),M20&amp;"Por favor no seleccionar los criterios de impacto",N7)</f>
        <v>0</v>
      </c>
      <c r="P7" s="282"/>
      <c r="Q7" s="285"/>
      <c r="R7" s="288"/>
      <c r="S7" s="72">
        <v>4</v>
      </c>
      <c r="T7" s="65"/>
      <c r="U7" s="51"/>
      <c r="V7" s="51"/>
      <c r="W7" s="73" t="str">
        <f t="shared" si="0"/>
        <v/>
      </c>
      <c r="X7" s="74"/>
      <c r="Y7" s="74"/>
      <c r="Z7" s="74"/>
      <c r="AA7" s="75" t="str">
        <f>IFERROR(IF(AND(AB6="Probabilidad",AB7="Probabilidad"),(AH6-(+AH6*W7)),IF(AND(AB6="Impacto",AB7="Probabilidad"),(W6-(+W6*W7)),IF(AB7="Impacto",AB6,""))),"")</f>
        <v/>
      </c>
      <c r="AB7" s="68" t="str">
        <f t="shared" si="3"/>
        <v/>
      </c>
      <c r="AC7" s="67"/>
      <c r="AD7" s="67"/>
      <c r="AE7" s="67"/>
      <c r="AF7" s="67"/>
      <c r="AG7" s="77" t="str">
        <f>IFERROR(IF(AA7="","",IF(AA7&lt;=0.2,"Muy Baja",IF(AA7&lt;=0.4,"Baja",IF(AA7&lt;=0.6,"Media",IF(AA7&lt;=0.8,"Alta","Muy Alta"))))),"")</f>
        <v/>
      </c>
      <c r="AH7" s="76" t="str">
        <f t="shared" si="1"/>
        <v/>
      </c>
      <c r="AI7" s="52" t="str">
        <f t="shared" ref="AI7:AI63" si="4">IFERROR(IF(AJ7="","",IF(AJ7&lt;=0.2,"Leve",IF(AJ7&lt;=0.4,"Menor",IF(AJ7&lt;=0.6,"Moderado",IF(AJ7&lt;=0.8,"Mayor","Catastrófico"))))),"")</f>
        <v/>
      </c>
      <c r="AJ7" s="53" t="str">
        <f>IFERROR(IF(AND(AB6="Impacto",AB7="Impacto"),(AJ6-(+AJ6*W7)),IF(AND(AB6="Probabilidad",AB7="Impacto"),(AJ5-(+AJ5*W7)),IF(AB7="Probabilidad",AJ6,""))),"")</f>
        <v/>
      </c>
      <c r="AK7" s="54" t="str">
        <f t="shared" si="2"/>
        <v/>
      </c>
      <c r="AL7" s="55"/>
      <c r="AM7" s="56"/>
      <c r="AN7" s="57"/>
      <c r="AO7" s="69"/>
      <c r="AP7" s="69"/>
      <c r="AQ7" s="69"/>
      <c r="AR7" s="58"/>
      <c r="AS7" s="58"/>
      <c r="AT7" s="56"/>
      <c r="AU7" s="57"/>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row>
    <row r="8" spans="1:79" ht="45.75" customHeight="1" x14ac:dyDescent="0.3">
      <c r="A8" s="266"/>
      <c r="B8" s="269"/>
      <c r="C8" s="269"/>
      <c r="D8" s="272"/>
      <c r="E8" s="272"/>
      <c r="F8" s="272"/>
      <c r="G8" s="275"/>
      <c r="H8" s="272"/>
      <c r="I8" s="272"/>
      <c r="J8" s="272"/>
      <c r="K8" s="266"/>
      <c r="L8" s="282"/>
      <c r="M8" s="285"/>
      <c r="N8" s="291"/>
      <c r="O8" s="285">
        <f ca="1">IF(NOT(ISERROR(MATCH(N8,_xlfn.ANCHORARRAY(G19),0))),M21&amp;"Por favor no seleccionar los criterios de impacto",N8)</f>
        <v>0</v>
      </c>
      <c r="P8" s="282"/>
      <c r="Q8" s="285"/>
      <c r="R8" s="288"/>
      <c r="S8" s="72">
        <v>5</v>
      </c>
      <c r="T8" s="65"/>
      <c r="U8" s="74"/>
      <c r="V8" s="74"/>
      <c r="W8" s="73" t="str">
        <f t="shared" si="0"/>
        <v/>
      </c>
      <c r="X8" s="74"/>
      <c r="Y8" s="74"/>
      <c r="Z8" s="74"/>
      <c r="AA8" s="75" t="str">
        <f>IFERROR(IF(AND(AB7="Probabilidad",AB8="Probabilidad"),(AH7-(+AH7*W8)),IF(AND(AB7="Impacto",AB8="Probabilidad"),(W7-(+W7*W8)),IF(AB8="Impacto",AB7,""))),"")</f>
        <v/>
      </c>
      <c r="AB8" s="68" t="str">
        <f t="shared" si="3"/>
        <v/>
      </c>
      <c r="AC8" s="67"/>
      <c r="AD8" s="67"/>
      <c r="AE8" s="67"/>
      <c r="AF8" s="67"/>
      <c r="AG8" s="77" t="str">
        <f t="shared" ref="AG8:AG63" si="5">IFERROR(IF(AA8="","",IF(AA8&lt;=0.2,"Muy Baja",IF(AA8&lt;=0.4,"Baja",IF(AA8&lt;=0.6,"Media",IF(AA8&lt;=0.8,"Alta","Muy Alta"))))),"")</f>
        <v/>
      </c>
      <c r="AH8" s="76" t="str">
        <f t="shared" si="1"/>
        <v/>
      </c>
      <c r="AI8" s="52" t="str">
        <f t="shared" si="4"/>
        <v/>
      </c>
      <c r="AJ8" s="53" t="str">
        <f>IFERROR(IF(AND(AB7="Impacto",AB8="Impacto"),(AJ7-(+AJ7*W8)),IF(AND(AB7="Probabilidad",AB8="Impacto"),(AJ6-(+AJ6*W8)),IF(AB8="Probabilidad",AJ7,""))),"")</f>
        <v/>
      </c>
      <c r="AK8" s="54" t="str">
        <f t="shared" si="2"/>
        <v/>
      </c>
      <c r="AL8" s="55"/>
      <c r="AM8" s="56"/>
      <c r="AN8" s="57"/>
      <c r="AO8" s="69"/>
      <c r="AP8" s="69"/>
      <c r="AQ8" s="69"/>
      <c r="AR8" s="58"/>
      <c r="AS8" s="58"/>
      <c r="AT8" s="56"/>
      <c r="AU8" s="57"/>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row>
    <row r="9" spans="1:79" ht="45.75" customHeight="1" x14ac:dyDescent="0.3">
      <c r="A9" s="267"/>
      <c r="B9" s="270"/>
      <c r="C9" s="270"/>
      <c r="D9" s="273"/>
      <c r="E9" s="273"/>
      <c r="F9" s="273"/>
      <c r="G9" s="276"/>
      <c r="H9" s="273"/>
      <c r="I9" s="273"/>
      <c r="J9" s="273"/>
      <c r="K9" s="267"/>
      <c r="L9" s="283"/>
      <c r="M9" s="286"/>
      <c r="N9" s="292"/>
      <c r="O9" s="286">
        <f ca="1">IF(NOT(ISERROR(MATCH(N9,_xlfn.ANCHORARRAY(G20),0))),M22&amp;"Por favor no seleccionar los criterios de impacto",N9)</f>
        <v>0</v>
      </c>
      <c r="P9" s="283"/>
      <c r="Q9" s="286"/>
      <c r="R9" s="289"/>
      <c r="S9" s="72">
        <v>6</v>
      </c>
      <c r="T9" s="65"/>
      <c r="U9" s="74"/>
      <c r="V9" s="74"/>
      <c r="W9" s="73" t="str">
        <f t="shared" si="0"/>
        <v/>
      </c>
      <c r="X9" s="74"/>
      <c r="Y9" s="74"/>
      <c r="Z9" s="74"/>
      <c r="AA9" s="75" t="str">
        <f>IFERROR(IF(AND(AB8="Probabilidad",AB9="Probabilidad"),(AH8-(+AH8*W9)),IF(AND(AB8="Impacto",AB9="Probabilidad"),(W8-(+W8*W9)),IF(AB9="Impacto",AB8,""))),"")</f>
        <v/>
      </c>
      <c r="AB9" s="68" t="str">
        <f t="shared" si="3"/>
        <v/>
      </c>
      <c r="AC9" s="67"/>
      <c r="AD9" s="67"/>
      <c r="AE9" s="67"/>
      <c r="AF9" s="67"/>
      <c r="AG9" s="77" t="str">
        <f t="shared" si="5"/>
        <v/>
      </c>
      <c r="AH9" s="76" t="str">
        <f t="shared" si="1"/>
        <v/>
      </c>
      <c r="AI9" s="52" t="str">
        <f t="shared" si="4"/>
        <v/>
      </c>
      <c r="AJ9" s="53" t="str">
        <f>IFERROR(IF(AND(AB8="Impacto",AB9="Impacto"),(AJ8-(+AJ8*W9)),IF(AND(AB8="Probabilidad",AB9="Impacto"),(AJ7-(+AJ7*W9)),IF(AB9="Probabilidad",AJ8,""))),"")</f>
        <v/>
      </c>
      <c r="AK9" s="54" t="str">
        <f t="shared" si="2"/>
        <v/>
      </c>
      <c r="AL9" s="55"/>
      <c r="AM9" s="56"/>
      <c r="AN9" s="57"/>
      <c r="AO9" s="69"/>
      <c r="AP9" s="69"/>
      <c r="AQ9" s="69"/>
      <c r="AR9" s="58"/>
      <c r="AS9" s="58"/>
      <c r="AT9" s="56"/>
      <c r="AU9" s="57"/>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row>
    <row r="10" spans="1:79" ht="45.75" customHeight="1" x14ac:dyDescent="0.3">
      <c r="A10" s="265">
        <v>2</v>
      </c>
      <c r="B10" s="268"/>
      <c r="C10" s="268"/>
      <c r="D10" s="271"/>
      <c r="E10" s="271"/>
      <c r="F10" s="271"/>
      <c r="G10" s="274"/>
      <c r="H10" s="271"/>
      <c r="I10" s="271"/>
      <c r="J10" s="271"/>
      <c r="K10" s="265"/>
      <c r="L10" s="281" t="str">
        <f>IF(K10&lt;=0,"",IF(K10&lt;="La actividad que conlleva el riesgo se ejecuta como máximos 2 veces por año","Muy Baja",IF(K10="La actividad que conlleva el riesgo se ejecuta de 3 a 24 veces por año","Baja",IF(K10="La actividad que conlleva el riesgo se ejecuta de 24 a 500 veces por año","Media",IF(K10="La actividad que conlleva el riesgo se ejecuta mínimo 500 veces al año y máximo 5000 veces por año","Alta","Muy Alta")))))</f>
        <v/>
      </c>
      <c r="M10" s="284" t="str">
        <f>IF(L10="","",IF(L10="Muy Baja",0.2,IF(L10="Baja",0.4,IF(L10="Media",0.6,IF(L10="Alta",0.8,IF(L10="Muy Alta",1,))))))</f>
        <v/>
      </c>
      <c r="N10" s="290"/>
      <c r="O10" s="284">
        <f>IF(NOT(ISERROR(MATCH(N10,'[1]Tabla Impacto'!$B$221:$B$223,0))),'[1]Tabla Impacto'!$F$223&amp;"Por favor no seleccionar los criterios de impacto(Afectación Económica o presupuestal y Pérdida Reputacional)",N10)</f>
        <v>0</v>
      </c>
      <c r="P10" s="281" t="str">
        <f>IF(OR(O10='[1]Tabla Impacto'!$C$11,O10='[1]Tabla Impacto'!$D$11),"Leve",IF(OR(O10='[1]Tabla Impacto'!$C$12,O10='[1]Tabla Impacto'!$D$12),"Menor",IF(OR(O10='[1]Tabla Impacto'!$C$13,O10='[1]Tabla Impacto'!$D$13),"Moderado",IF(OR(O10='[1]Tabla Impacto'!$C$14,O10='[1]Tabla Impacto'!$D$14),"Mayor",IF(OR(O10='[1]Tabla Impacto'!$C$15,O10='[1]Tabla Impacto'!$D$15),"Catastrófico","")))))</f>
        <v/>
      </c>
      <c r="Q10" s="284" t="str">
        <f>IF(P10="","",IF(P10="Leve",0.2,IF(P10="Menor",0.4,IF(P10="Moderado",0.6,IF(P10="Mayor",0.8,IF(P10="Catastrófico",1,))))))</f>
        <v/>
      </c>
      <c r="R10" s="287" t="str">
        <f>IF(OR(AND(L10="Muy Baja",P10="Leve"),AND(L10="Muy Baja",P10="Menor"),AND(L10="Baja",P10="Leve")),"Bajo",IF(OR(AND(L10="Muy baja",P10="Moderado"),AND(L10="Baja",P10="Menor"),AND(L10="Baja",P10="Moderado"),AND(L10="Media",P10="Leve"),AND(L10="Media",P10="Menor"),AND(L10="Media",P10="Moderado"),AND(L10="Alta",P10="Leve"),AND(L10="Alta",P10="Menor")),"Moderado",IF(OR(AND(L10="Muy Baja",P10="Mayor"),AND(L10="Baja",P10="Mayor"),AND(L10="Media",P10="Mayor"),AND(L10="Alta",P10="Moderado"),AND(L10="Alta",P10="Mayor"),AND(L10="Muy Alta",P10="Leve"),AND(L10="Muy Alta",P10="Menor"),AND(L10="Muy Alta",P10="Moderado"),AND(L10="Muy Alta",P10="Mayor")),"Alto",IF(OR(AND(L10="Muy Baja",P10="Catastrófico"),AND(L10="Baja",P10="Catastrófico"),AND(L10="Media",P10="Catastrófico"),AND(L10="Alta",P10="Catastrófico"),AND(L10="Muy Alta",P10="Catastrófico")),"Extremo",""))))</f>
        <v/>
      </c>
      <c r="S10" s="72">
        <v>1</v>
      </c>
      <c r="T10" s="65"/>
      <c r="U10" s="51"/>
      <c r="V10" s="51"/>
      <c r="W10" s="73" t="str">
        <f t="shared" si="0"/>
        <v/>
      </c>
      <c r="X10" s="51"/>
      <c r="Y10" s="51"/>
      <c r="Z10" s="51"/>
      <c r="AA10" s="67" t="str">
        <f>IFERROR(IF(AB10="Probabilidad",(M10-(+M10*W10)),IF(AB10="Impacto",M10,"")),"")</f>
        <v/>
      </c>
      <c r="AB10" s="68" t="str">
        <f t="shared" si="3"/>
        <v/>
      </c>
      <c r="AC10" s="67"/>
      <c r="AD10" s="67"/>
      <c r="AE10" s="67"/>
      <c r="AF10" s="67"/>
      <c r="AG10" s="52" t="str">
        <f t="shared" ref="AG10:AG15" si="6">IFERROR(IF(AA10="","",IF(AA10&lt;=0.2,"Muy Baja",IF(AA10&lt;=0.4,"Baja",IF(AA10&lt;=0.6,"Media",IF(AA10&lt;=0.8,"Alta","Muy Alta"))))),"")</f>
        <v/>
      </c>
      <c r="AH10" s="53" t="str">
        <f t="shared" si="1"/>
        <v/>
      </c>
      <c r="AI10" s="52" t="str">
        <f t="shared" si="4"/>
        <v/>
      </c>
      <c r="AJ10" s="53" t="str">
        <f>IFERROR(IF(AB10="Impacto",(Q10-(+Q10*W10)),IF(AB10="Probabilidad",Q10,"")),"")</f>
        <v/>
      </c>
      <c r="AK10" s="54" t="str">
        <f t="shared" si="2"/>
        <v/>
      </c>
      <c r="AL10" s="55"/>
      <c r="AM10" s="56"/>
      <c r="AN10" s="57"/>
      <c r="AO10" s="69"/>
      <c r="AP10" s="69"/>
      <c r="AQ10" s="69"/>
      <c r="AR10" s="58"/>
      <c r="AS10" s="58"/>
      <c r="AT10" s="56"/>
      <c r="AU10" s="57"/>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45.75" customHeight="1" x14ac:dyDescent="0.3">
      <c r="A11" s="266"/>
      <c r="B11" s="269"/>
      <c r="C11" s="269"/>
      <c r="D11" s="272"/>
      <c r="E11" s="272"/>
      <c r="F11" s="272"/>
      <c r="G11" s="275"/>
      <c r="H11" s="272"/>
      <c r="I11" s="272"/>
      <c r="J11" s="272"/>
      <c r="K11" s="266"/>
      <c r="L11" s="282"/>
      <c r="M11" s="285"/>
      <c r="N11" s="291"/>
      <c r="O11" s="285">
        <f ca="1">IF(NOT(ISERROR(MATCH(N11,_xlfn.ANCHORARRAY(G22),0))),M24&amp;"Por favor no seleccionar los criterios de impacto",N11)</f>
        <v>0</v>
      </c>
      <c r="P11" s="282"/>
      <c r="Q11" s="285"/>
      <c r="R11" s="288"/>
      <c r="S11" s="72">
        <v>2</v>
      </c>
      <c r="T11" s="65"/>
      <c r="U11" s="74"/>
      <c r="V11" s="74"/>
      <c r="W11" s="73" t="str">
        <f t="shared" si="0"/>
        <v/>
      </c>
      <c r="X11" s="74"/>
      <c r="Y11" s="74"/>
      <c r="Z11" s="74"/>
      <c r="AA11" s="75" t="str">
        <f>IFERROR(IF(AND(AB10="Probabilidad",AB11="Probabilidad"),(AH10-(+AH10*W11)),IF(AB11="Probabilidad",(M10-(+M10*W11)),IF(AB11="Impacto",AH10,""))),"")</f>
        <v/>
      </c>
      <c r="AB11" s="68" t="str">
        <f t="shared" si="3"/>
        <v/>
      </c>
      <c r="AC11" s="67"/>
      <c r="AD11" s="67"/>
      <c r="AE11" s="67"/>
      <c r="AF11" s="67"/>
      <c r="AG11" s="52" t="str">
        <f t="shared" si="6"/>
        <v/>
      </c>
      <c r="AH11" s="53" t="str">
        <f t="shared" si="1"/>
        <v/>
      </c>
      <c r="AI11" s="52" t="str">
        <f t="shared" si="4"/>
        <v/>
      </c>
      <c r="AJ11" s="53" t="str">
        <f>IFERROR(IF(AND(AB10="Impacto",AB11="Impacto"),(AJ10-(+AJ10*W11)),IF(AB11="Impacto",($Q$10-(+$Q$10*AB11)),IF(AB11="Probabilidad",AJ10,""))),"")</f>
        <v/>
      </c>
      <c r="AK11" s="54" t="str">
        <f t="shared" si="2"/>
        <v/>
      </c>
      <c r="AL11" s="55"/>
      <c r="AM11" s="56"/>
      <c r="AN11" s="57"/>
      <c r="AO11" s="69"/>
      <c r="AP11" s="69"/>
      <c r="AQ11" s="69"/>
      <c r="AR11" s="58"/>
      <c r="AS11" s="58"/>
      <c r="AT11" s="56"/>
      <c r="AU11" s="57"/>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row>
    <row r="12" spans="1:79" ht="45.75" customHeight="1" x14ac:dyDescent="0.3">
      <c r="A12" s="266"/>
      <c r="B12" s="269"/>
      <c r="C12" s="269"/>
      <c r="D12" s="272"/>
      <c r="E12" s="272"/>
      <c r="F12" s="272"/>
      <c r="G12" s="275"/>
      <c r="H12" s="272"/>
      <c r="I12" s="272"/>
      <c r="J12" s="272"/>
      <c r="K12" s="266"/>
      <c r="L12" s="282"/>
      <c r="M12" s="285"/>
      <c r="N12" s="291"/>
      <c r="O12" s="285">
        <f ca="1">IF(NOT(ISERROR(MATCH(N12,_xlfn.ANCHORARRAY(G23),0))),M25&amp;"Por favor no seleccionar los criterios de impacto",N12)</f>
        <v>0</v>
      </c>
      <c r="P12" s="282"/>
      <c r="Q12" s="285"/>
      <c r="R12" s="288"/>
      <c r="S12" s="72">
        <v>3</v>
      </c>
      <c r="T12" s="65"/>
      <c r="U12" s="74"/>
      <c r="V12" s="74"/>
      <c r="W12" s="73" t="str">
        <f t="shared" si="0"/>
        <v/>
      </c>
      <c r="X12" s="74"/>
      <c r="Y12" s="74"/>
      <c r="Z12" s="74"/>
      <c r="AA12" s="75" t="str">
        <f>IFERROR(IF(AND(AB11="Probabilidad",AB12="Probabilidad"),(AH11-(+AH11*W12)),IF(AND(AB11="Impacto",AB12="Probabilidad"),(W11-(+W11*W12)),IF(AB12="Impacto",AB11,""))),"")</f>
        <v/>
      </c>
      <c r="AB12" s="68" t="str">
        <f t="shared" si="3"/>
        <v/>
      </c>
      <c r="AC12" s="67"/>
      <c r="AD12" s="67"/>
      <c r="AE12" s="67"/>
      <c r="AF12" s="67"/>
      <c r="AG12" s="52" t="str">
        <f t="shared" si="6"/>
        <v/>
      </c>
      <c r="AH12" s="76" t="str">
        <f t="shared" si="1"/>
        <v/>
      </c>
      <c r="AI12" s="52" t="str">
        <f t="shared" si="4"/>
        <v/>
      </c>
      <c r="AJ12" s="53" t="str">
        <f>IFERROR(IF(AND(AB11="Impacto",AB12="Impacto"),(AJ11-(+AJ11*W12)),IF(AND(AB11="Probabilidad",AB12="Impacto"),(AJ10-(+AJ10*W12)),IF(AB12="Probabilidad",AJ11,""))),"")</f>
        <v/>
      </c>
      <c r="AK12" s="54" t="str">
        <f t="shared" si="2"/>
        <v/>
      </c>
      <c r="AL12" s="55"/>
      <c r="AM12" s="56"/>
      <c r="AN12" s="57"/>
      <c r="AO12" s="69"/>
      <c r="AP12" s="69"/>
      <c r="AQ12" s="69"/>
      <c r="AR12" s="58"/>
      <c r="AS12" s="58"/>
      <c r="AT12" s="56"/>
      <c r="AU12" s="57"/>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row>
    <row r="13" spans="1:79" ht="45.75" customHeight="1" x14ac:dyDescent="0.3">
      <c r="A13" s="266"/>
      <c r="B13" s="269"/>
      <c r="C13" s="269"/>
      <c r="D13" s="272"/>
      <c r="E13" s="272"/>
      <c r="F13" s="272"/>
      <c r="G13" s="275"/>
      <c r="H13" s="272"/>
      <c r="I13" s="272"/>
      <c r="J13" s="272"/>
      <c r="K13" s="266"/>
      <c r="L13" s="282"/>
      <c r="M13" s="285"/>
      <c r="N13" s="291"/>
      <c r="O13" s="285">
        <f ca="1">IF(NOT(ISERROR(MATCH(N13,_xlfn.ANCHORARRAY(G24),0))),M26&amp;"Por favor no seleccionar los criterios de impacto",N13)</f>
        <v>0</v>
      </c>
      <c r="P13" s="282"/>
      <c r="Q13" s="285"/>
      <c r="R13" s="288"/>
      <c r="S13" s="72">
        <v>4</v>
      </c>
      <c r="T13" s="65"/>
      <c r="U13" s="74"/>
      <c r="V13" s="74"/>
      <c r="W13" s="73" t="str">
        <f t="shared" si="0"/>
        <v/>
      </c>
      <c r="X13" s="74"/>
      <c r="Y13" s="74"/>
      <c r="Z13" s="74"/>
      <c r="AA13" s="75" t="str">
        <f>IFERROR(IF(AND(AB12="Probabilidad",AB13="Probabilidad"),(AH12-(+AH12*W13)),IF(AND(AB12="Impacto",AB13="Probabilidad"),(W12-(+W12*W13)),IF(AB13="Impacto",AB12,""))),"")</f>
        <v/>
      </c>
      <c r="AB13" s="68" t="str">
        <f t="shared" si="3"/>
        <v/>
      </c>
      <c r="AC13" s="67"/>
      <c r="AD13" s="67"/>
      <c r="AE13" s="67"/>
      <c r="AF13" s="67"/>
      <c r="AG13" s="77" t="str">
        <f t="shared" si="6"/>
        <v/>
      </c>
      <c r="AH13" s="76" t="str">
        <f t="shared" si="1"/>
        <v/>
      </c>
      <c r="AI13" s="52" t="str">
        <f t="shared" si="4"/>
        <v/>
      </c>
      <c r="AJ13" s="53" t="str">
        <f>IFERROR(IF(AND(AB12="Impacto",AB13="Impacto"),(AJ12-(+AJ12*W13)),IF(AND(AB12="Probabilidad",AB13="Impacto"),(AJ11-(+AJ11*W13)),IF(AB13="Probabilidad",AJ12,""))),"")</f>
        <v/>
      </c>
      <c r="AK13" s="54" t="str">
        <f t="shared" si="2"/>
        <v/>
      </c>
      <c r="AL13" s="55"/>
      <c r="AM13" s="56"/>
      <c r="AN13" s="57"/>
      <c r="AO13" s="69"/>
      <c r="AP13" s="69"/>
      <c r="AQ13" s="69"/>
      <c r="AR13" s="58"/>
      <c r="AS13" s="58"/>
      <c r="AT13" s="56"/>
      <c r="AU13" s="57"/>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row>
    <row r="14" spans="1:79" ht="45.75" customHeight="1" x14ac:dyDescent="0.3">
      <c r="A14" s="266"/>
      <c r="B14" s="269"/>
      <c r="C14" s="269"/>
      <c r="D14" s="272"/>
      <c r="E14" s="272"/>
      <c r="F14" s="272"/>
      <c r="G14" s="275"/>
      <c r="H14" s="272"/>
      <c r="I14" s="272"/>
      <c r="J14" s="272"/>
      <c r="K14" s="266"/>
      <c r="L14" s="282"/>
      <c r="M14" s="285"/>
      <c r="N14" s="291"/>
      <c r="O14" s="285">
        <f ca="1">IF(NOT(ISERROR(MATCH(N14,_xlfn.ANCHORARRAY(G25),0))),M27&amp;"Por favor no seleccionar los criterios de impacto",N14)</f>
        <v>0</v>
      </c>
      <c r="P14" s="282"/>
      <c r="Q14" s="285"/>
      <c r="R14" s="288"/>
      <c r="S14" s="72">
        <v>5</v>
      </c>
      <c r="T14" s="65"/>
      <c r="U14" s="74"/>
      <c r="V14" s="74"/>
      <c r="W14" s="73" t="str">
        <f t="shared" si="0"/>
        <v/>
      </c>
      <c r="X14" s="74"/>
      <c r="Y14" s="74"/>
      <c r="Z14" s="74"/>
      <c r="AA14" s="75" t="str">
        <f>IFERROR(IF(AND(AB13="Probabilidad",AB14="Probabilidad"),(AH13-(+AH13*W14)),IF(AND(AB13="Impacto",AB14="Probabilidad"),(W13-(+W13*W14)),IF(AB14="Impacto",AB13,""))),"")</f>
        <v/>
      </c>
      <c r="AB14" s="68" t="str">
        <f t="shared" si="3"/>
        <v/>
      </c>
      <c r="AC14" s="67"/>
      <c r="AD14" s="67"/>
      <c r="AE14" s="67"/>
      <c r="AF14" s="67"/>
      <c r="AG14" s="77" t="str">
        <f t="shared" si="6"/>
        <v/>
      </c>
      <c r="AH14" s="76" t="str">
        <f t="shared" si="1"/>
        <v/>
      </c>
      <c r="AI14" s="52" t="str">
        <f t="shared" si="4"/>
        <v/>
      </c>
      <c r="AJ14" s="53" t="str">
        <f>IFERROR(IF(AND(AB13="Impacto",AB14="Impacto"),(AJ13-(+AJ13*W14)),IF(AND(AB13="Probabilidad",AB14="Impacto"),(AJ12-(+AJ12*W14)),IF(AB14="Probabilidad",AJ13,""))),"")</f>
        <v/>
      </c>
      <c r="AK14" s="54" t="str">
        <f t="shared" si="2"/>
        <v/>
      </c>
      <c r="AL14" s="55"/>
      <c r="AM14" s="56"/>
      <c r="AN14" s="57"/>
      <c r="AO14" s="69"/>
      <c r="AP14" s="69"/>
      <c r="AQ14" s="69"/>
      <c r="AR14" s="58"/>
      <c r="AS14" s="58"/>
      <c r="AT14" s="56"/>
      <c r="AU14" s="57"/>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row>
    <row r="15" spans="1:79" ht="45.75" customHeight="1" x14ac:dyDescent="0.3">
      <c r="A15" s="267"/>
      <c r="B15" s="270"/>
      <c r="C15" s="270"/>
      <c r="D15" s="273"/>
      <c r="E15" s="273"/>
      <c r="F15" s="273"/>
      <c r="G15" s="276"/>
      <c r="H15" s="273"/>
      <c r="I15" s="273"/>
      <c r="J15" s="273"/>
      <c r="K15" s="267"/>
      <c r="L15" s="283"/>
      <c r="M15" s="286"/>
      <c r="N15" s="292"/>
      <c r="O15" s="286">
        <f ca="1">IF(NOT(ISERROR(MATCH(N15,_xlfn.ANCHORARRAY(G26),0))),M28&amp;"Por favor no seleccionar los criterios de impacto",N15)</f>
        <v>0</v>
      </c>
      <c r="P15" s="283"/>
      <c r="Q15" s="286"/>
      <c r="R15" s="289"/>
      <c r="S15" s="72">
        <v>6</v>
      </c>
      <c r="T15" s="65"/>
      <c r="U15" s="74"/>
      <c r="V15" s="74"/>
      <c r="W15" s="73" t="str">
        <f t="shared" si="0"/>
        <v/>
      </c>
      <c r="X15" s="74"/>
      <c r="Y15" s="74"/>
      <c r="Z15" s="74"/>
      <c r="AA15" s="75" t="str">
        <f>IFERROR(IF(AND(AB14="Probabilidad",AB15="Probabilidad"),(AH14-(+AH14*W15)),IF(AND(AB14="Impacto",AB15="Probabilidad"),(W14-(+W14*W15)),IF(AB15="Impacto",AB14,""))),"")</f>
        <v/>
      </c>
      <c r="AB15" s="68" t="str">
        <f t="shared" si="3"/>
        <v/>
      </c>
      <c r="AC15" s="67"/>
      <c r="AD15" s="67"/>
      <c r="AE15" s="67"/>
      <c r="AF15" s="67"/>
      <c r="AG15" s="77" t="str">
        <f t="shared" si="6"/>
        <v/>
      </c>
      <c r="AH15" s="76" t="str">
        <f t="shared" si="1"/>
        <v/>
      </c>
      <c r="AI15" s="52" t="str">
        <f t="shared" si="4"/>
        <v/>
      </c>
      <c r="AJ15" s="53" t="str">
        <f>IFERROR(IF(AND(AB14="Impacto",AB15="Impacto"),(AJ14-(+AJ14*W15)),IF(AND(AB14="Probabilidad",AB15="Impacto"),(AJ13-(+AJ13*W15)),IF(AB15="Probabilidad",AJ14,""))),"")</f>
        <v/>
      </c>
      <c r="AK15" s="54" t="str">
        <f t="shared" si="2"/>
        <v/>
      </c>
      <c r="AL15" s="55"/>
      <c r="AM15" s="56"/>
      <c r="AN15" s="57"/>
      <c r="AO15" s="69"/>
      <c r="AP15" s="69"/>
      <c r="AQ15" s="69"/>
      <c r="AR15" s="58"/>
      <c r="AS15" s="58"/>
      <c r="AT15" s="56"/>
      <c r="AU15" s="57"/>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45.75" customHeight="1" x14ac:dyDescent="0.3">
      <c r="A16" s="265">
        <v>3</v>
      </c>
      <c r="B16" s="268"/>
      <c r="C16" s="268"/>
      <c r="D16" s="271"/>
      <c r="E16" s="271"/>
      <c r="F16" s="271"/>
      <c r="G16" s="274"/>
      <c r="H16" s="271"/>
      <c r="I16" s="271"/>
      <c r="J16" s="271"/>
      <c r="K16" s="265"/>
      <c r="L16" s="281" t="str">
        <f>IF(K16&lt;=0,"",IF(K16&lt;="La actividad que conlleva el riesgo se ejecuta como máximos 2 veces por año","Muy Baja",IF(K16="La actividad que conlleva el riesgo se ejecuta de 3 a 24 veces por año","Baja",IF(K16="La actividad que conlleva el riesgo se ejecuta de 24 a 500 veces por año","Media",IF(K16="La actividad que conlleva el riesgo se ejecuta mínimo 500 veces al año y máximo 5000 veces por año","Alta","Muy Alta")))))</f>
        <v/>
      </c>
      <c r="M16" s="284" t="str">
        <f>IF(L16="","",IF(L16="Muy Baja",0.2,IF(L16="Baja",0.4,IF(L16="Media",0.6,IF(L16="Alta",0.8,IF(L16="Muy Alta",1,))))))</f>
        <v/>
      </c>
      <c r="N16" s="290"/>
      <c r="O16" s="284">
        <f>IF(NOT(ISERROR(MATCH(N16,'[1]Tabla Impacto'!$B$221:$B$223,0))),'[1]Tabla Impacto'!$F$223&amp;"Por favor no seleccionar los criterios de impacto(Afectación Económica o presupuestal y Pérdida Reputacional)",N16)</f>
        <v>0</v>
      </c>
      <c r="P16" s="281" t="str">
        <f>IF(OR(O16='[1]Tabla Impacto'!$C$11,O16='[1]Tabla Impacto'!$D$11),"Leve",IF(OR(O16='[1]Tabla Impacto'!$C$12,O16='[1]Tabla Impacto'!$D$12),"Menor",IF(OR(O16='[1]Tabla Impacto'!$C$13,O16='[1]Tabla Impacto'!$D$13),"Moderado",IF(OR(O16='[1]Tabla Impacto'!$C$14,O16='[1]Tabla Impacto'!$D$14),"Mayor",IF(OR(O16='[1]Tabla Impacto'!$C$15,O16='[1]Tabla Impacto'!$D$15),"Catastrófico","")))))</f>
        <v/>
      </c>
      <c r="Q16" s="284" t="str">
        <f>IF(P16="","",IF(P16="Leve",0.2,IF(P16="Menor",0.4,IF(P16="Moderado",0.6,IF(P16="Mayor",0.8,IF(P16="Catastrófico",1,))))))</f>
        <v/>
      </c>
      <c r="R16" s="287"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
      </c>
      <c r="S16" s="72">
        <v>1</v>
      </c>
      <c r="T16" s="65"/>
      <c r="U16" s="51"/>
      <c r="V16" s="51"/>
      <c r="W16" s="73" t="str">
        <f t="shared" si="0"/>
        <v/>
      </c>
      <c r="X16" s="51"/>
      <c r="Y16" s="51"/>
      <c r="Z16" s="51"/>
      <c r="AA16" s="67" t="str">
        <f>IFERROR(IF(AB16="Probabilidad",(M16-(+M16*W16)),IF(AB16="Impacto",M16,"")),"")</f>
        <v/>
      </c>
      <c r="AB16" s="68" t="str">
        <f t="shared" si="3"/>
        <v/>
      </c>
      <c r="AC16" s="67"/>
      <c r="AD16" s="67"/>
      <c r="AE16" s="67"/>
      <c r="AF16" s="67"/>
      <c r="AG16" s="77" t="str">
        <f t="shared" si="5"/>
        <v/>
      </c>
      <c r="AH16" s="76" t="str">
        <f t="shared" si="1"/>
        <v/>
      </c>
      <c r="AI16" s="52" t="str">
        <f t="shared" si="4"/>
        <v/>
      </c>
      <c r="AJ16" s="53" t="str">
        <f>IFERROR(IF(AB16="Impacto",(Q16-(+Q16*W16)),IF(AB16="Probabilidad",Q16,"")),"")</f>
        <v/>
      </c>
      <c r="AK16" s="54" t="str">
        <f t="shared" si="2"/>
        <v/>
      </c>
      <c r="AL16" s="55"/>
      <c r="AM16" s="56"/>
      <c r="AN16" s="57"/>
      <c r="AO16" s="69"/>
      <c r="AP16" s="69"/>
      <c r="AQ16" s="69"/>
      <c r="AR16" s="58"/>
      <c r="AS16" s="58"/>
      <c r="AT16" s="56"/>
      <c r="AU16" s="57"/>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row>
    <row r="17" spans="1:79" ht="45.75" customHeight="1" x14ac:dyDescent="0.3">
      <c r="A17" s="266"/>
      <c r="B17" s="269"/>
      <c r="C17" s="269"/>
      <c r="D17" s="272"/>
      <c r="E17" s="272"/>
      <c r="F17" s="272"/>
      <c r="G17" s="275"/>
      <c r="H17" s="272"/>
      <c r="I17" s="272"/>
      <c r="J17" s="272"/>
      <c r="K17" s="266"/>
      <c r="L17" s="282"/>
      <c r="M17" s="285"/>
      <c r="N17" s="291"/>
      <c r="O17" s="285">
        <f ca="1">IF(NOT(ISERROR(MATCH(N17,_xlfn.ANCHORARRAY(G28),0))),M30&amp;"Por favor no seleccionar los criterios de impacto",N17)</f>
        <v>0</v>
      </c>
      <c r="P17" s="282"/>
      <c r="Q17" s="285"/>
      <c r="R17" s="288"/>
      <c r="S17" s="72">
        <v>2</v>
      </c>
      <c r="T17" s="65"/>
      <c r="U17" s="74"/>
      <c r="V17" s="74"/>
      <c r="W17" s="73" t="str">
        <f t="shared" si="0"/>
        <v/>
      </c>
      <c r="X17" s="74"/>
      <c r="Y17" s="74"/>
      <c r="Z17" s="74"/>
      <c r="AA17" s="75" t="str">
        <f>IFERROR(IF(AND(AB16="Probabilidad",AB17="Probabilidad"),(AH16-(+AH16*W17)),IF(AB17="Probabilidad",(M16-(+M16*W17)),IF(AB17="Impacto",AH16,""))),"")</f>
        <v/>
      </c>
      <c r="AB17" s="68" t="str">
        <f t="shared" si="3"/>
        <v/>
      </c>
      <c r="AC17" s="67"/>
      <c r="AD17" s="67"/>
      <c r="AE17" s="67"/>
      <c r="AF17" s="67"/>
      <c r="AG17" s="77" t="str">
        <f t="shared" si="5"/>
        <v/>
      </c>
      <c r="AH17" s="76" t="str">
        <f t="shared" si="1"/>
        <v/>
      </c>
      <c r="AI17" s="52" t="str">
        <f t="shared" si="4"/>
        <v/>
      </c>
      <c r="AJ17" s="53" t="str">
        <f>IFERROR(IF(AND(AB16="Impacto",AB17="Impacto"),(AJ16-(+AJ16*W17)),IF(AB17="Impacto",($Q$10-(+$Q$10*AB17)),IF(AB17="Probabilidad",AJ16,""))),"")</f>
        <v/>
      </c>
      <c r="AK17" s="54" t="str">
        <f t="shared" si="2"/>
        <v/>
      </c>
      <c r="AL17" s="55"/>
      <c r="AM17" s="56"/>
      <c r="AN17" s="57"/>
      <c r="AO17" s="69"/>
      <c r="AP17" s="69"/>
      <c r="AQ17" s="69"/>
      <c r="AR17" s="58"/>
      <c r="AS17" s="58"/>
      <c r="AT17" s="56"/>
      <c r="AU17" s="57"/>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row>
    <row r="18" spans="1:79" ht="45.75" customHeight="1" x14ac:dyDescent="0.3">
      <c r="A18" s="266"/>
      <c r="B18" s="269"/>
      <c r="C18" s="269"/>
      <c r="D18" s="272"/>
      <c r="E18" s="272"/>
      <c r="F18" s="272"/>
      <c r="G18" s="275"/>
      <c r="H18" s="272"/>
      <c r="I18" s="272"/>
      <c r="J18" s="272"/>
      <c r="K18" s="266"/>
      <c r="L18" s="282"/>
      <c r="M18" s="285"/>
      <c r="N18" s="291"/>
      <c r="O18" s="285">
        <f ca="1">IF(NOT(ISERROR(MATCH(N18,_xlfn.ANCHORARRAY(G29),0))),M31&amp;"Por favor no seleccionar los criterios de impacto",N18)</f>
        <v>0</v>
      </c>
      <c r="P18" s="282"/>
      <c r="Q18" s="285"/>
      <c r="R18" s="288"/>
      <c r="S18" s="72">
        <v>3</v>
      </c>
      <c r="T18" s="65"/>
      <c r="U18" s="74"/>
      <c r="V18" s="74"/>
      <c r="W18" s="73" t="str">
        <f t="shared" si="0"/>
        <v/>
      </c>
      <c r="X18" s="74"/>
      <c r="Y18" s="74"/>
      <c r="Z18" s="74"/>
      <c r="AA18" s="75" t="str">
        <f>IFERROR(IF(AND(AB17="Probabilidad",AB18="Probabilidad"),(AH17-(+AH17*W18)),IF(AND(AB17="Impacto",AB18="Probabilidad"),(W17-(+W17*W18)),IF(AB18="Impacto",AB17,""))),"")</f>
        <v/>
      </c>
      <c r="AB18" s="68" t="str">
        <f t="shared" si="3"/>
        <v/>
      </c>
      <c r="AC18" s="67"/>
      <c r="AD18" s="67"/>
      <c r="AE18" s="67"/>
      <c r="AF18" s="67"/>
      <c r="AG18" s="77" t="str">
        <f t="shared" si="5"/>
        <v/>
      </c>
      <c r="AH18" s="76" t="str">
        <f t="shared" si="1"/>
        <v/>
      </c>
      <c r="AI18" s="52" t="str">
        <f t="shared" si="4"/>
        <v/>
      </c>
      <c r="AJ18" s="53" t="str">
        <f>IFERROR(IF(AND(AB17="Impacto",AB18="Impacto"),(AJ17-(+AJ17*W18)),IF(AND(AB17="Probabilidad",AB18="Impacto"),(AJ16-(+AJ16*W18)),IF(AB18="Probabilidad",AJ17,""))),"")</f>
        <v/>
      </c>
      <c r="AK18" s="54" t="str">
        <f t="shared" si="2"/>
        <v/>
      </c>
      <c r="AL18" s="55"/>
      <c r="AM18" s="56"/>
      <c r="AN18" s="57"/>
      <c r="AO18" s="69"/>
      <c r="AP18" s="69"/>
      <c r="AQ18" s="69"/>
      <c r="AR18" s="58"/>
      <c r="AS18" s="58"/>
      <c r="AT18" s="56"/>
      <c r="AU18" s="57"/>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row>
    <row r="19" spans="1:79" ht="45.75" customHeight="1" x14ac:dyDescent="0.3">
      <c r="A19" s="266"/>
      <c r="B19" s="269"/>
      <c r="C19" s="269"/>
      <c r="D19" s="272"/>
      <c r="E19" s="272"/>
      <c r="F19" s="272"/>
      <c r="G19" s="275"/>
      <c r="H19" s="272"/>
      <c r="I19" s="272"/>
      <c r="J19" s="272"/>
      <c r="K19" s="266"/>
      <c r="L19" s="282"/>
      <c r="M19" s="285"/>
      <c r="N19" s="291"/>
      <c r="O19" s="285">
        <f ca="1">IF(NOT(ISERROR(MATCH(N19,_xlfn.ANCHORARRAY(G30),0))),M32&amp;"Por favor no seleccionar los criterios de impacto",N19)</f>
        <v>0</v>
      </c>
      <c r="P19" s="282"/>
      <c r="Q19" s="285"/>
      <c r="R19" s="288"/>
      <c r="S19" s="72">
        <v>4</v>
      </c>
      <c r="T19" s="65"/>
      <c r="U19" s="74"/>
      <c r="V19" s="74"/>
      <c r="W19" s="73" t="str">
        <f t="shared" si="0"/>
        <v/>
      </c>
      <c r="X19" s="74"/>
      <c r="Y19" s="74"/>
      <c r="Z19" s="74"/>
      <c r="AA19" s="75" t="str">
        <f>IFERROR(IF(AND(AB18="Probabilidad",AB19="Probabilidad"),(AH18-(+AH18*W19)),IF(AND(AB18="Impacto",AB19="Probabilidad"),(W18-(+W18*W19)),IF(AB19="Impacto",AB18,""))),"")</f>
        <v/>
      </c>
      <c r="AB19" s="68" t="str">
        <f t="shared" si="3"/>
        <v/>
      </c>
      <c r="AC19" s="67"/>
      <c r="AD19" s="67"/>
      <c r="AE19" s="67"/>
      <c r="AF19" s="67"/>
      <c r="AG19" s="77" t="str">
        <f t="shared" si="5"/>
        <v/>
      </c>
      <c r="AH19" s="76" t="str">
        <f t="shared" si="1"/>
        <v/>
      </c>
      <c r="AI19" s="52" t="str">
        <f t="shared" si="4"/>
        <v/>
      </c>
      <c r="AJ19" s="53" t="str">
        <f>IFERROR(IF(AND(AB18="Impacto",AB19="Impacto"),(AJ18-(+AJ18*W19)),IF(AND(AB18="Probabilidad",AB19="Impacto"),(AJ17-(+AJ17*W19)),IF(AB19="Probabilidad",AJ18,""))),"")</f>
        <v/>
      </c>
      <c r="AK19" s="54" t="str">
        <f t="shared" si="2"/>
        <v/>
      </c>
      <c r="AL19" s="55"/>
      <c r="AM19" s="56"/>
      <c r="AN19" s="57"/>
      <c r="AO19" s="69"/>
      <c r="AP19" s="69"/>
      <c r="AQ19" s="69"/>
      <c r="AR19" s="58"/>
      <c r="AS19" s="58"/>
      <c r="AT19" s="56"/>
      <c r="AU19" s="57"/>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row>
    <row r="20" spans="1:79" ht="45.75" customHeight="1" x14ac:dyDescent="0.3">
      <c r="A20" s="266"/>
      <c r="B20" s="269"/>
      <c r="C20" s="269"/>
      <c r="D20" s="272"/>
      <c r="E20" s="272"/>
      <c r="F20" s="272"/>
      <c r="G20" s="275"/>
      <c r="H20" s="272"/>
      <c r="I20" s="272"/>
      <c r="J20" s="272"/>
      <c r="K20" s="266"/>
      <c r="L20" s="282"/>
      <c r="M20" s="285"/>
      <c r="N20" s="291"/>
      <c r="O20" s="285">
        <f ca="1">IF(NOT(ISERROR(MATCH(N20,_xlfn.ANCHORARRAY(G31),0))),M33&amp;"Por favor no seleccionar los criterios de impacto",N20)</f>
        <v>0</v>
      </c>
      <c r="P20" s="282"/>
      <c r="Q20" s="285"/>
      <c r="R20" s="288"/>
      <c r="S20" s="72">
        <v>5</v>
      </c>
      <c r="T20" s="65"/>
      <c r="U20" s="74"/>
      <c r="V20" s="74"/>
      <c r="W20" s="73" t="str">
        <f t="shared" si="0"/>
        <v/>
      </c>
      <c r="X20" s="74"/>
      <c r="Y20" s="74"/>
      <c r="Z20" s="74"/>
      <c r="AA20" s="75" t="str">
        <f>IFERROR(IF(AND(AB19="Probabilidad",AB20="Probabilidad"),(AH19-(+AH19*W20)),IF(AND(AB19="Impacto",AB20="Probabilidad"),(W19-(+W19*W20)),IF(AB20="Impacto",AB19,""))),"")</f>
        <v/>
      </c>
      <c r="AB20" s="68" t="str">
        <f t="shared" si="3"/>
        <v/>
      </c>
      <c r="AC20" s="67"/>
      <c r="AD20" s="67"/>
      <c r="AE20" s="67"/>
      <c r="AF20" s="67"/>
      <c r="AG20" s="77" t="str">
        <f t="shared" si="5"/>
        <v/>
      </c>
      <c r="AH20" s="76" t="str">
        <f t="shared" si="1"/>
        <v/>
      </c>
      <c r="AI20" s="52" t="str">
        <f t="shared" si="4"/>
        <v/>
      </c>
      <c r="AJ20" s="53" t="str">
        <f>IFERROR(IF(AND(AB19="Impacto",AB20="Impacto"),(AJ19-(+AJ19*W20)),IF(AND(AB19="Probabilidad",AB20="Impacto"),(AJ18-(+AJ18*W20)),IF(AB20="Probabilidad",AJ19,""))),"")</f>
        <v/>
      </c>
      <c r="AK20" s="54" t="str">
        <f t="shared" si="2"/>
        <v/>
      </c>
      <c r="AL20" s="55"/>
      <c r="AM20" s="56"/>
      <c r="AN20" s="57"/>
      <c r="AO20" s="69"/>
      <c r="AP20" s="69"/>
      <c r="AQ20" s="69"/>
      <c r="AR20" s="58"/>
      <c r="AS20" s="58"/>
      <c r="AT20" s="56"/>
      <c r="AU20" s="57"/>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row>
    <row r="21" spans="1:79" ht="45.75" customHeight="1" x14ac:dyDescent="0.3">
      <c r="A21" s="267"/>
      <c r="B21" s="270"/>
      <c r="C21" s="270"/>
      <c r="D21" s="273"/>
      <c r="E21" s="273"/>
      <c r="F21" s="273"/>
      <c r="G21" s="276"/>
      <c r="H21" s="273"/>
      <c r="I21" s="273"/>
      <c r="J21" s="273"/>
      <c r="K21" s="267"/>
      <c r="L21" s="283"/>
      <c r="M21" s="286"/>
      <c r="N21" s="292"/>
      <c r="O21" s="286">
        <f ca="1">IF(NOT(ISERROR(MATCH(N21,_xlfn.ANCHORARRAY(G32),0))),M34&amp;"Por favor no seleccionar los criterios de impacto",N21)</f>
        <v>0</v>
      </c>
      <c r="P21" s="283"/>
      <c r="Q21" s="286"/>
      <c r="R21" s="289"/>
      <c r="S21" s="72">
        <v>6</v>
      </c>
      <c r="T21" s="65"/>
      <c r="U21" s="74"/>
      <c r="V21" s="74"/>
      <c r="W21" s="73" t="str">
        <f t="shared" si="0"/>
        <v/>
      </c>
      <c r="X21" s="74"/>
      <c r="Y21" s="74"/>
      <c r="Z21" s="74"/>
      <c r="AA21" s="75" t="str">
        <f>IFERROR(IF(AND(AB20="Probabilidad",AB21="Probabilidad"),(AH20-(+AH20*W21)),IF(AND(AB20="Impacto",AB21="Probabilidad"),(W20-(+W20*W21)),IF(AB21="Impacto",AB20,""))),"")</f>
        <v/>
      </c>
      <c r="AB21" s="68" t="str">
        <f t="shared" si="3"/>
        <v/>
      </c>
      <c r="AC21" s="67"/>
      <c r="AD21" s="67"/>
      <c r="AE21" s="67"/>
      <c r="AF21" s="67"/>
      <c r="AG21" s="77" t="str">
        <f t="shared" si="5"/>
        <v/>
      </c>
      <c r="AH21" s="76" t="str">
        <f t="shared" si="1"/>
        <v/>
      </c>
      <c r="AI21" s="52" t="str">
        <f t="shared" si="4"/>
        <v/>
      </c>
      <c r="AJ21" s="53" t="str">
        <f>IFERROR(IF(AND(AB20="Impacto",AB21="Impacto"),(AJ20-(+AJ20*W21)),IF(AND(AB20="Probabilidad",AB21="Impacto"),(AJ19-(+AJ19*W21)),IF(AB21="Probabilidad",AJ20,""))),"")</f>
        <v/>
      </c>
      <c r="AK21" s="54" t="str">
        <f t="shared" si="2"/>
        <v/>
      </c>
      <c r="AL21" s="55"/>
      <c r="AM21" s="56"/>
      <c r="AN21" s="57"/>
      <c r="AO21" s="69"/>
      <c r="AP21" s="69"/>
      <c r="AQ21" s="69"/>
      <c r="AR21" s="58"/>
      <c r="AS21" s="58"/>
      <c r="AT21" s="56"/>
      <c r="AU21" s="57"/>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row>
    <row r="22" spans="1:79" ht="45.75" customHeight="1" x14ac:dyDescent="0.3">
      <c r="A22" s="265">
        <v>4</v>
      </c>
      <c r="B22" s="268"/>
      <c r="C22" s="268"/>
      <c r="D22" s="271"/>
      <c r="E22" s="271"/>
      <c r="F22" s="271"/>
      <c r="G22" s="274"/>
      <c r="H22" s="271"/>
      <c r="I22" s="271"/>
      <c r="J22" s="271"/>
      <c r="K22" s="265"/>
      <c r="L22" s="281" t="str">
        <f>IF(K22&lt;=0,"",IF(K22&lt;="La actividad que conlleva el riesgo se ejecuta como máximos 2 veces por año","Muy Baja",IF(K22="La actividad que conlleva el riesgo se ejecuta de 3 a 24 veces por año","Baja",IF(K22="La actividad que conlleva el riesgo se ejecuta de 24 a 500 veces por año","Media",IF(K22="La actividad que conlleva el riesgo se ejecuta mínimo 500 veces al año y máximo 5000 veces por año","Alta","Muy Alta")))))</f>
        <v/>
      </c>
      <c r="M22" s="284" t="str">
        <f>IF(L22="","",IF(L22="Muy Baja",0.2,IF(L22="Baja",0.4,IF(L22="Media",0.6,IF(L22="Alta",0.8,IF(L22="Muy Alta",1,))))))</f>
        <v/>
      </c>
      <c r="N22" s="290"/>
      <c r="O22" s="284">
        <f>IF(NOT(ISERROR(MATCH(N22,'[1]Tabla Impacto'!$B$221:$B$223,0))),'[1]Tabla Impacto'!$F$223&amp;"Por favor no seleccionar los criterios de impacto(Afectación Económica o presupuestal y Pérdida Reputacional)",N22)</f>
        <v>0</v>
      </c>
      <c r="P22" s="281" t="str">
        <f>IF(OR(O22='[1]Tabla Impacto'!$C$11,O22='[1]Tabla Impacto'!$D$11),"Leve",IF(OR(O22='[1]Tabla Impacto'!$C$12,O22='[1]Tabla Impacto'!$D$12),"Menor",IF(OR(O22='[1]Tabla Impacto'!$C$13,O22='[1]Tabla Impacto'!$D$13),"Moderado",IF(OR(O22='[1]Tabla Impacto'!$C$14,O22='[1]Tabla Impacto'!$D$14),"Mayor",IF(OR(O22='[1]Tabla Impacto'!$C$15,O22='[1]Tabla Impacto'!$D$15),"Catastrófico","")))))</f>
        <v/>
      </c>
      <c r="Q22" s="284" t="str">
        <f>IF(P22="","",IF(P22="Leve",0.2,IF(P22="Menor",0.4,IF(P22="Moderado",0.6,IF(P22="Mayor",0.8,IF(P22="Catastrófico",1,))))))</f>
        <v/>
      </c>
      <c r="R22" s="287" t="str">
        <f>IF(OR(AND(L22="Muy Baja",P22="Leve"),AND(L22="Muy Baja",P22="Menor"),AND(L22="Baja",P22="Leve")),"Bajo",IF(OR(AND(L22="Muy baja",P22="Moderado"),AND(L22="Baja",P22="Menor"),AND(L22="Baja",P22="Moderado"),AND(L22="Media",P22="Leve"),AND(L22="Media",P22="Menor"),AND(L22="Media",P22="Moderado"),AND(L22="Alta",P22="Leve"),AND(L22="Alta",P22="Menor")),"Moderado",IF(OR(AND(L22="Muy Baja",P22="Mayor"),AND(L22="Baja",P22="Mayor"),AND(L22="Media",P22="Mayor"),AND(L22="Alta",P22="Moderado"),AND(L22="Alta",P22="Mayor"),AND(L22="Muy Alta",P22="Leve"),AND(L22="Muy Alta",P22="Menor"),AND(L22="Muy Alta",P22="Moderado"),AND(L22="Muy Alta",P22="Mayor")),"Alto",IF(OR(AND(L22="Muy Baja",P22="Catastrófico"),AND(L22="Baja",P22="Catastrófico"),AND(L22="Media",P22="Catastrófico"),AND(L22="Alta",P22="Catastrófico"),AND(L22="Muy Alta",P22="Catastrófico")),"Extremo",""))))</f>
        <v/>
      </c>
      <c r="S22" s="72">
        <v>1</v>
      </c>
      <c r="T22" s="65"/>
      <c r="U22" s="51"/>
      <c r="V22" s="51"/>
      <c r="W22" s="73" t="str">
        <f t="shared" si="0"/>
        <v/>
      </c>
      <c r="X22" s="51"/>
      <c r="Y22" s="51"/>
      <c r="Z22" s="51"/>
      <c r="AA22" s="67" t="str">
        <f>IFERROR(IF(AB22="Probabilidad",(M22-(+M22*W22)),IF(AB22="Impacto",M22,"")),"")</f>
        <v/>
      </c>
      <c r="AB22" s="68" t="str">
        <f t="shared" si="3"/>
        <v/>
      </c>
      <c r="AC22" s="67"/>
      <c r="AD22" s="67"/>
      <c r="AE22" s="67"/>
      <c r="AF22" s="67"/>
      <c r="AG22" s="77" t="str">
        <f t="shared" si="5"/>
        <v/>
      </c>
      <c r="AH22" s="76" t="str">
        <f t="shared" si="1"/>
        <v/>
      </c>
      <c r="AI22" s="52" t="str">
        <f t="shared" si="4"/>
        <v/>
      </c>
      <c r="AJ22" s="53" t="str">
        <f>IFERROR(IF(AB22="Impacto",(Q22-(+Q22*W22)),IF(AB22="Probabilidad",Q22,"")),"")</f>
        <v/>
      </c>
      <c r="AK22" s="54" t="str">
        <f t="shared" si="2"/>
        <v/>
      </c>
      <c r="AL22" s="55"/>
      <c r="AM22" s="56"/>
      <c r="AN22" s="57"/>
      <c r="AO22" s="69"/>
      <c r="AP22" s="69"/>
      <c r="AQ22" s="69"/>
      <c r="AR22" s="58"/>
      <c r="AS22" s="58"/>
      <c r="AT22" s="56"/>
      <c r="AU22" s="57"/>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row>
    <row r="23" spans="1:79" ht="45.75" customHeight="1" x14ac:dyDescent="0.3">
      <c r="A23" s="266"/>
      <c r="B23" s="269"/>
      <c r="C23" s="269"/>
      <c r="D23" s="272"/>
      <c r="E23" s="272"/>
      <c r="F23" s="272"/>
      <c r="G23" s="275"/>
      <c r="H23" s="272"/>
      <c r="I23" s="272"/>
      <c r="J23" s="272"/>
      <c r="K23" s="266"/>
      <c r="L23" s="282"/>
      <c r="M23" s="285"/>
      <c r="N23" s="291"/>
      <c r="O23" s="285">
        <f ca="1">IF(NOT(ISERROR(MATCH(N23,_xlfn.ANCHORARRAY(G34),0))),M36&amp;"Por favor no seleccionar los criterios de impacto",N23)</f>
        <v>0</v>
      </c>
      <c r="P23" s="282"/>
      <c r="Q23" s="285"/>
      <c r="R23" s="288"/>
      <c r="S23" s="72">
        <v>2</v>
      </c>
      <c r="T23" s="65"/>
      <c r="U23" s="74"/>
      <c r="V23" s="74"/>
      <c r="W23" s="73" t="str">
        <f t="shared" si="0"/>
        <v/>
      </c>
      <c r="X23" s="74"/>
      <c r="Y23" s="74"/>
      <c r="Z23" s="74"/>
      <c r="AA23" s="75" t="str">
        <f>IFERROR(IF(AND(AB22="Probabilidad",AB23="Probabilidad"),(AH22-(+AH22*W23)),IF(AB23="Probabilidad",(M22-(+M22*W23)),IF(AB23="Impacto",AH22,""))),"")</f>
        <v/>
      </c>
      <c r="AB23" s="68" t="str">
        <f t="shared" si="3"/>
        <v/>
      </c>
      <c r="AC23" s="67"/>
      <c r="AD23" s="67"/>
      <c r="AE23" s="67"/>
      <c r="AF23" s="67"/>
      <c r="AG23" s="77" t="str">
        <f t="shared" si="5"/>
        <v/>
      </c>
      <c r="AH23" s="76" t="str">
        <f t="shared" si="1"/>
        <v/>
      </c>
      <c r="AI23" s="52" t="str">
        <f t="shared" si="4"/>
        <v/>
      </c>
      <c r="AJ23" s="53" t="str">
        <f>IFERROR(IF(AND(AB22="Impacto",AB23="Impacto"),(AJ22-(+AJ22*W23)),IF(AB23="Impacto",($Q$10-(+$Q$10*AB23)),IF(AB23="Probabilidad",AJ22,""))),"")</f>
        <v/>
      </c>
      <c r="AK23" s="54" t="str">
        <f t="shared" si="2"/>
        <v/>
      </c>
      <c r="AL23" s="55"/>
      <c r="AM23" s="56"/>
      <c r="AN23" s="57"/>
      <c r="AO23" s="69"/>
      <c r="AP23" s="69"/>
      <c r="AQ23" s="69"/>
      <c r="AR23" s="58"/>
      <c r="AS23" s="58"/>
      <c r="AT23" s="56"/>
      <c r="AU23" s="57"/>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row>
    <row r="24" spans="1:79" ht="45.75" customHeight="1" x14ac:dyDescent="0.3">
      <c r="A24" s="266"/>
      <c r="B24" s="269"/>
      <c r="C24" s="269"/>
      <c r="D24" s="272"/>
      <c r="E24" s="272"/>
      <c r="F24" s="272"/>
      <c r="G24" s="275"/>
      <c r="H24" s="272"/>
      <c r="I24" s="272"/>
      <c r="J24" s="272"/>
      <c r="K24" s="266"/>
      <c r="L24" s="282"/>
      <c r="M24" s="285"/>
      <c r="N24" s="291"/>
      <c r="O24" s="285">
        <f ca="1">IF(NOT(ISERROR(MATCH(N24,_xlfn.ANCHORARRAY(G35),0))),M37&amp;"Por favor no seleccionar los criterios de impacto",N24)</f>
        <v>0</v>
      </c>
      <c r="P24" s="282"/>
      <c r="Q24" s="285"/>
      <c r="R24" s="288"/>
      <c r="S24" s="72">
        <v>3</v>
      </c>
      <c r="T24" s="65"/>
      <c r="U24" s="74"/>
      <c r="V24" s="74"/>
      <c r="W24" s="73" t="str">
        <f t="shared" si="0"/>
        <v/>
      </c>
      <c r="X24" s="74"/>
      <c r="Y24" s="74"/>
      <c r="Z24" s="74"/>
      <c r="AA24" s="75" t="str">
        <f>IFERROR(IF(AND(AB23="Probabilidad",AB24="Probabilidad"),(AH23-(+AH23*W24)),IF(AND(AB23="Impacto",AB24="Probabilidad"),(W23-(+W23*W24)),IF(AB24="Impacto",AB23,""))),"")</f>
        <v/>
      </c>
      <c r="AB24" s="68" t="str">
        <f t="shared" si="3"/>
        <v/>
      </c>
      <c r="AC24" s="67"/>
      <c r="AD24" s="67"/>
      <c r="AE24" s="67"/>
      <c r="AF24" s="67"/>
      <c r="AG24" s="77" t="str">
        <f t="shared" si="5"/>
        <v/>
      </c>
      <c r="AH24" s="76" t="str">
        <f t="shared" si="1"/>
        <v/>
      </c>
      <c r="AI24" s="52" t="str">
        <f t="shared" si="4"/>
        <v/>
      </c>
      <c r="AJ24" s="53" t="str">
        <f>IFERROR(IF(AND(AB23="Impacto",AB24="Impacto"),(AJ23-(+AJ23*W24)),IF(AND(AB23="Probabilidad",AB24="Impacto"),(AJ22-(+AJ22*W24)),IF(AB24="Probabilidad",AJ23,""))),"")</f>
        <v/>
      </c>
      <c r="AK24" s="54" t="str">
        <f t="shared" si="2"/>
        <v/>
      </c>
      <c r="AL24" s="55"/>
      <c r="AM24" s="56"/>
      <c r="AN24" s="57"/>
      <c r="AO24" s="69"/>
      <c r="AP24" s="69"/>
      <c r="AQ24" s="69"/>
      <c r="AR24" s="58"/>
      <c r="AS24" s="58"/>
      <c r="AT24" s="56"/>
      <c r="AU24" s="57"/>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row>
    <row r="25" spans="1:79" ht="45.75" customHeight="1" x14ac:dyDescent="0.3">
      <c r="A25" s="266"/>
      <c r="B25" s="269"/>
      <c r="C25" s="269"/>
      <c r="D25" s="272"/>
      <c r="E25" s="272"/>
      <c r="F25" s="272"/>
      <c r="G25" s="275"/>
      <c r="H25" s="272"/>
      <c r="I25" s="272"/>
      <c r="J25" s="272"/>
      <c r="K25" s="266"/>
      <c r="L25" s="282"/>
      <c r="M25" s="285"/>
      <c r="N25" s="291"/>
      <c r="O25" s="285">
        <f ca="1">IF(NOT(ISERROR(MATCH(N25,_xlfn.ANCHORARRAY(G36),0))),M38&amp;"Por favor no seleccionar los criterios de impacto",N25)</f>
        <v>0</v>
      </c>
      <c r="P25" s="282"/>
      <c r="Q25" s="285"/>
      <c r="R25" s="288"/>
      <c r="S25" s="72">
        <v>4</v>
      </c>
      <c r="T25" s="65"/>
      <c r="U25" s="74"/>
      <c r="V25" s="74"/>
      <c r="W25" s="73" t="str">
        <f t="shared" si="0"/>
        <v/>
      </c>
      <c r="X25" s="74"/>
      <c r="Y25" s="74"/>
      <c r="Z25" s="74"/>
      <c r="AA25" s="75" t="str">
        <f>IFERROR(IF(AND(AB24="Probabilidad",AB25="Probabilidad"),(AH24-(+AH24*W25)),IF(AND(AB24="Impacto",AB25="Probabilidad"),(W24-(+W24*W25)),IF(AB25="Impacto",AB24,""))),"")</f>
        <v/>
      </c>
      <c r="AB25" s="68" t="str">
        <f t="shared" si="3"/>
        <v/>
      </c>
      <c r="AC25" s="67"/>
      <c r="AD25" s="67"/>
      <c r="AE25" s="67"/>
      <c r="AF25" s="67"/>
      <c r="AG25" s="77" t="str">
        <f t="shared" si="5"/>
        <v/>
      </c>
      <c r="AH25" s="76" t="str">
        <f t="shared" si="1"/>
        <v/>
      </c>
      <c r="AI25" s="52" t="str">
        <f t="shared" si="4"/>
        <v/>
      </c>
      <c r="AJ25" s="53" t="str">
        <f>IFERROR(IF(AND(AB24="Impacto",AB25="Impacto"),(AJ24-(+AJ24*W25)),IF(AND(AB24="Probabilidad",AB25="Impacto"),(AJ23-(+AJ23*W25)),IF(AB25="Probabilidad",AJ24,""))),"")</f>
        <v/>
      </c>
      <c r="AK25" s="54" t="str">
        <f t="shared" si="2"/>
        <v/>
      </c>
      <c r="AL25" s="55"/>
      <c r="AM25" s="56"/>
      <c r="AN25" s="57"/>
      <c r="AO25" s="69"/>
      <c r="AP25" s="69"/>
      <c r="AQ25" s="69"/>
      <c r="AR25" s="58"/>
      <c r="AS25" s="58"/>
      <c r="AT25" s="56"/>
      <c r="AU25" s="57"/>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row>
    <row r="26" spans="1:79" ht="45.75" customHeight="1" x14ac:dyDescent="0.3">
      <c r="A26" s="266"/>
      <c r="B26" s="269"/>
      <c r="C26" s="269"/>
      <c r="D26" s="272"/>
      <c r="E26" s="272"/>
      <c r="F26" s="272"/>
      <c r="G26" s="275"/>
      <c r="H26" s="272"/>
      <c r="I26" s="272"/>
      <c r="J26" s="272"/>
      <c r="K26" s="266"/>
      <c r="L26" s="282"/>
      <c r="M26" s="285"/>
      <c r="N26" s="291"/>
      <c r="O26" s="285">
        <f ca="1">IF(NOT(ISERROR(MATCH(N26,_xlfn.ANCHORARRAY(G37),0))),M39&amp;"Por favor no seleccionar los criterios de impacto",N26)</f>
        <v>0</v>
      </c>
      <c r="P26" s="282"/>
      <c r="Q26" s="285"/>
      <c r="R26" s="288"/>
      <c r="S26" s="72">
        <v>5</v>
      </c>
      <c r="T26" s="65"/>
      <c r="U26" s="74"/>
      <c r="V26" s="74"/>
      <c r="W26" s="73" t="str">
        <f t="shared" si="0"/>
        <v/>
      </c>
      <c r="X26" s="74"/>
      <c r="Y26" s="74"/>
      <c r="Z26" s="74"/>
      <c r="AA26" s="75" t="str">
        <f>IFERROR(IF(AND(AB25="Probabilidad",AB26="Probabilidad"),(AH25-(+AH25*W26)),IF(AND(AB25="Impacto",AB26="Probabilidad"),(W25-(+W25*W26)),IF(AB26="Impacto",AB25,""))),"")</f>
        <v/>
      </c>
      <c r="AB26" s="68" t="str">
        <f t="shared" si="3"/>
        <v/>
      </c>
      <c r="AC26" s="67"/>
      <c r="AD26" s="67"/>
      <c r="AE26" s="67"/>
      <c r="AF26" s="67"/>
      <c r="AG26" s="77" t="str">
        <f t="shared" si="5"/>
        <v/>
      </c>
      <c r="AH26" s="76" t="str">
        <f t="shared" si="1"/>
        <v/>
      </c>
      <c r="AI26" s="52" t="str">
        <f t="shared" si="4"/>
        <v/>
      </c>
      <c r="AJ26" s="53" t="str">
        <f>IFERROR(IF(AND(AB25="Impacto",AB26="Impacto"),(AJ25-(+AJ25*W26)),IF(AND(AB25="Probabilidad",AB26="Impacto"),(AJ24-(+AJ24*W26)),IF(AB26="Probabilidad",AJ25,""))),"")</f>
        <v/>
      </c>
      <c r="AK26" s="54" t="str">
        <f t="shared" si="2"/>
        <v/>
      </c>
      <c r="AL26" s="55"/>
      <c r="AM26" s="56"/>
      <c r="AN26" s="57"/>
      <c r="AO26" s="69"/>
      <c r="AP26" s="69"/>
      <c r="AQ26" s="69"/>
      <c r="AR26" s="58"/>
      <c r="AS26" s="58"/>
      <c r="AT26" s="56"/>
      <c r="AU26" s="57"/>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row>
    <row r="27" spans="1:79" ht="45.75" customHeight="1" x14ac:dyDescent="0.3">
      <c r="A27" s="267"/>
      <c r="B27" s="270"/>
      <c r="C27" s="270"/>
      <c r="D27" s="273"/>
      <c r="E27" s="273"/>
      <c r="F27" s="273"/>
      <c r="G27" s="276"/>
      <c r="H27" s="273"/>
      <c r="I27" s="273"/>
      <c r="J27" s="273"/>
      <c r="K27" s="267"/>
      <c r="L27" s="283"/>
      <c r="M27" s="286"/>
      <c r="N27" s="292"/>
      <c r="O27" s="286">
        <f ca="1">IF(NOT(ISERROR(MATCH(N27,_xlfn.ANCHORARRAY(G38),0))),M40&amp;"Por favor no seleccionar los criterios de impacto",N27)</f>
        <v>0</v>
      </c>
      <c r="P27" s="283"/>
      <c r="Q27" s="286"/>
      <c r="R27" s="289"/>
      <c r="S27" s="72">
        <v>6</v>
      </c>
      <c r="T27" s="65"/>
      <c r="U27" s="74"/>
      <c r="V27" s="74"/>
      <c r="W27" s="73" t="str">
        <f t="shared" si="0"/>
        <v/>
      </c>
      <c r="X27" s="74"/>
      <c r="Y27" s="74"/>
      <c r="Z27" s="74"/>
      <c r="AA27" s="75" t="str">
        <f>IFERROR(IF(AND(AB26="Probabilidad",AB27="Probabilidad"),(AH26-(+AH26*W27)),IF(AND(AB26="Impacto",AB27="Probabilidad"),(W26-(+W26*W27)),IF(AB27="Impacto",AB26,""))),"")</f>
        <v/>
      </c>
      <c r="AB27" s="68" t="str">
        <f t="shared" si="3"/>
        <v/>
      </c>
      <c r="AC27" s="67"/>
      <c r="AD27" s="67"/>
      <c r="AE27" s="67"/>
      <c r="AF27" s="67"/>
      <c r="AG27" s="77" t="str">
        <f t="shared" si="5"/>
        <v/>
      </c>
      <c r="AH27" s="76" t="str">
        <f t="shared" si="1"/>
        <v/>
      </c>
      <c r="AI27" s="52" t="str">
        <f t="shared" si="4"/>
        <v/>
      </c>
      <c r="AJ27" s="53" t="str">
        <f>IFERROR(IF(AND(AB26="Impacto",AB27="Impacto"),(AJ26-(+AJ26*W27)),IF(AND(AB26="Probabilidad",AB27="Impacto"),(AJ25-(+AJ25*W27)),IF(AB27="Probabilidad",AJ26,""))),"")</f>
        <v/>
      </c>
      <c r="AK27" s="54" t="str">
        <f t="shared" si="2"/>
        <v/>
      </c>
      <c r="AL27" s="55"/>
      <c r="AM27" s="56"/>
      <c r="AN27" s="57"/>
      <c r="AO27" s="69"/>
      <c r="AP27" s="69"/>
      <c r="AQ27" s="69"/>
      <c r="AR27" s="58"/>
      <c r="AS27" s="58"/>
      <c r="AT27" s="56"/>
      <c r="AU27" s="57"/>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row>
    <row r="28" spans="1:79" ht="45.75" customHeight="1" x14ac:dyDescent="0.3">
      <c r="A28" s="265">
        <v>5</v>
      </c>
      <c r="B28" s="268"/>
      <c r="C28" s="268"/>
      <c r="D28" s="271"/>
      <c r="E28" s="271"/>
      <c r="F28" s="271"/>
      <c r="G28" s="274"/>
      <c r="H28" s="271"/>
      <c r="I28" s="271"/>
      <c r="J28" s="271"/>
      <c r="K28" s="265"/>
      <c r="L28" s="281" t="str">
        <f>IF(K28&lt;=0,"",IF(K28&lt;="La actividad que conlleva el riesgo se ejecuta como máximos 2 veces por año","Muy Baja",IF(K28="La actividad que conlleva el riesgo se ejecuta de 3 a 24 veces por año","Baja",IF(K28="La actividad que conlleva el riesgo se ejecuta de 24 a 500 veces por año","Media",IF(K28="La actividad que conlleva el riesgo se ejecuta mínimo 500 veces al año y máximo 5000 veces por año","Alta","Muy Alta")))))</f>
        <v/>
      </c>
      <c r="M28" s="284" t="str">
        <f>IF(L28="","",IF(L28="Muy Baja",0.2,IF(L28="Baja",0.4,IF(L28="Media",0.6,IF(L28="Alta",0.8,IF(L28="Muy Alta",1,))))))</f>
        <v/>
      </c>
      <c r="N28" s="290"/>
      <c r="O28" s="284">
        <f>IF(NOT(ISERROR(MATCH(N28,'[1]Tabla Impacto'!$B$221:$B$223,0))),'[1]Tabla Impacto'!$F$223&amp;"Por favor no seleccionar los criterios de impacto(Afectación Económica o presupuestal y Pérdida Reputacional)",N28)</f>
        <v>0</v>
      </c>
      <c r="P28" s="281" t="str">
        <f>IF(OR(O28='[1]Tabla Impacto'!$C$11,O28='[1]Tabla Impacto'!$D$11),"Leve",IF(OR(O28='[1]Tabla Impacto'!$C$12,O28='[1]Tabla Impacto'!$D$12),"Menor",IF(OR(O28='[1]Tabla Impacto'!$C$13,O28='[1]Tabla Impacto'!$D$13),"Moderado",IF(OR(O28='[1]Tabla Impacto'!$C$14,O28='[1]Tabla Impacto'!$D$14),"Mayor",IF(OR(O28='[1]Tabla Impacto'!$C$15,O28='[1]Tabla Impacto'!$D$15),"Catastrófico","")))))</f>
        <v/>
      </c>
      <c r="Q28" s="284" t="str">
        <f>IF(P28="","",IF(P28="Leve",0.2,IF(P28="Menor",0.4,IF(P28="Moderado",0.6,IF(P28="Mayor",0.8,IF(P28="Catastrófico",1,))))))</f>
        <v/>
      </c>
      <c r="R28" s="287" t="str">
        <f>IF(OR(AND(L28="Muy Baja",P28="Leve"),AND(L28="Muy Baja",P28="Menor"),AND(L28="Baja",P28="Leve")),"Bajo",IF(OR(AND(L28="Muy baja",P28="Moderado"),AND(L28="Baja",P28="Menor"),AND(L28="Baja",P28="Moderado"),AND(L28="Media",P28="Leve"),AND(L28="Media",P28="Menor"),AND(L28="Media",P28="Moderado"),AND(L28="Alta",P28="Leve"),AND(L28="Alta",P28="Menor")),"Moderado",IF(OR(AND(L28="Muy Baja",P28="Mayor"),AND(L28="Baja",P28="Mayor"),AND(L28="Media",P28="Mayor"),AND(L28="Alta",P28="Moderado"),AND(L28="Alta",P28="Mayor"),AND(L28="Muy Alta",P28="Leve"),AND(L28="Muy Alta",P28="Menor"),AND(L28="Muy Alta",P28="Moderado"),AND(L28="Muy Alta",P28="Mayor")),"Alto",IF(OR(AND(L28="Muy Baja",P28="Catastrófico"),AND(L28="Baja",P28="Catastrófico"),AND(L28="Media",P28="Catastrófico"),AND(L28="Alta",P28="Catastrófico"),AND(L28="Muy Alta",P28="Catastrófico")),"Extremo",""))))</f>
        <v/>
      </c>
      <c r="S28" s="72">
        <v>1</v>
      </c>
      <c r="T28" s="65"/>
      <c r="U28" s="51"/>
      <c r="V28" s="51"/>
      <c r="W28" s="73" t="str">
        <f t="shared" si="0"/>
        <v/>
      </c>
      <c r="X28" s="51"/>
      <c r="Y28" s="51"/>
      <c r="Z28" s="51"/>
      <c r="AA28" s="67" t="str">
        <f>IFERROR(IF(AB28="Probabilidad",(M28-(+M28*W28)),IF(AB28="Impacto",M28,"")),"")</f>
        <v/>
      </c>
      <c r="AB28" s="68" t="str">
        <f t="shared" si="3"/>
        <v/>
      </c>
      <c r="AC28" s="67"/>
      <c r="AD28" s="67"/>
      <c r="AE28" s="67"/>
      <c r="AF28" s="67"/>
      <c r="AG28" s="77" t="str">
        <f t="shared" si="5"/>
        <v/>
      </c>
      <c r="AH28" s="76" t="str">
        <f t="shared" si="1"/>
        <v/>
      </c>
      <c r="AI28" s="52" t="str">
        <f t="shared" si="4"/>
        <v/>
      </c>
      <c r="AJ28" s="53" t="str">
        <f>IFERROR(IF(AB28="Impacto",(Q28-(+Q28*W28)),IF(AB28="Probabilidad",Q28,"")),"")</f>
        <v/>
      </c>
      <c r="AK28" s="54" t="str">
        <f t="shared" si="2"/>
        <v/>
      </c>
      <c r="AL28" s="55"/>
      <c r="AM28" s="56"/>
      <c r="AN28" s="57"/>
      <c r="AO28" s="69"/>
      <c r="AP28" s="69"/>
      <c r="AQ28" s="69"/>
      <c r="AR28" s="58"/>
      <c r="AS28" s="58"/>
      <c r="AT28" s="56"/>
      <c r="AU28" s="57"/>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row>
    <row r="29" spans="1:79" ht="45.75" customHeight="1" x14ac:dyDescent="0.3">
      <c r="A29" s="266"/>
      <c r="B29" s="269"/>
      <c r="C29" s="269"/>
      <c r="D29" s="272"/>
      <c r="E29" s="272"/>
      <c r="F29" s="272"/>
      <c r="G29" s="275"/>
      <c r="H29" s="272"/>
      <c r="I29" s="272"/>
      <c r="J29" s="272"/>
      <c r="K29" s="266"/>
      <c r="L29" s="282"/>
      <c r="M29" s="285"/>
      <c r="N29" s="291"/>
      <c r="O29" s="285">
        <f ca="1">IF(NOT(ISERROR(MATCH(N29,_xlfn.ANCHORARRAY(G40),0))),M42&amp;"Por favor no seleccionar los criterios de impacto",N29)</f>
        <v>0</v>
      </c>
      <c r="P29" s="282"/>
      <c r="Q29" s="285"/>
      <c r="R29" s="288"/>
      <c r="S29" s="72">
        <v>2</v>
      </c>
      <c r="T29" s="65"/>
      <c r="U29" s="74"/>
      <c r="V29" s="74"/>
      <c r="W29" s="73" t="str">
        <f t="shared" si="0"/>
        <v/>
      </c>
      <c r="X29" s="74"/>
      <c r="Y29" s="74"/>
      <c r="Z29" s="74"/>
      <c r="AA29" s="75" t="str">
        <f>IFERROR(IF(AND(AB28="Probabilidad",AB29="Probabilidad"),(AH28-(+AH28*W29)),IF(AB29="Probabilidad",(M28-(+M28*W29)),IF(AB29="Impacto",AH28,""))),"")</f>
        <v/>
      </c>
      <c r="AB29" s="68" t="str">
        <f t="shared" si="3"/>
        <v/>
      </c>
      <c r="AC29" s="67"/>
      <c r="AD29" s="67"/>
      <c r="AE29" s="67"/>
      <c r="AF29" s="67"/>
      <c r="AG29" s="77" t="str">
        <f t="shared" si="5"/>
        <v/>
      </c>
      <c r="AH29" s="76" t="str">
        <f t="shared" si="1"/>
        <v/>
      </c>
      <c r="AI29" s="52" t="str">
        <f t="shared" si="4"/>
        <v/>
      </c>
      <c r="AJ29" s="53" t="str">
        <f>IFERROR(IF(AND(AB28="Impacto",AB29="Impacto"),(AJ28-(+AJ28*W29)),IF(AB29="Impacto",($Q$10-(+$Q$10*AB29)),IF(AB29="Probabilidad",AJ28,""))),"")</f>
        <v/>
      </c>
      <c r="AK29" s="54" t="str">
        <f t="shared" si="2"/>
        <v/>
      </c>
      <c r="AL29" s="55"/>
      <c r="AM29" s="56"/>
      <c r="AN29" s="57"/>
      <c r="AO29" s="69"/>
      <c r="AP29" s="69"/>
      <c r="AQ29" s="69"/>
      <c r="AR29" s="58"/>
      <c r="AS29" s="58"/>
      <c r="AT29" s="56"/>
      <c r="AU29" s="57"/>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ht="45.75" customHeight="1" x14ac:dyDescent="0.3">
      <c r="A30" s="266"/>
      <c r="B30" s="269"/>
      <c r="C30" s="269"/>
      <c r="D30" s="272"/>
      <c r="E30" s="272"/>
      <c r="F30" s="272"/>
      <c r="G30" s="275"/>
      <c r="H30" s="272"/>
      <c r="I30" s="272"/>
      <c r="J30" s="272"/>
      <c r="K30" s="266"/>
      <c r="L30" s="282"/>
      <c r="M30" s="285"/>
      <c r="N30" s="291"/>
      <c r="O30" s="285">
        <f ca="1">IF(NOT(ISERROR(MATCH(N30,_xlfn.ANCHORARRAY(G41),0))),M43&amp;"Por favor no seleccionar los criterios de impacto",N30)</f>
        <v>0</v>
      </c>
      <c r="P30" s="282"/>
      <c r="Q30" s="285"/>
      <c r="R30" s="288"/>
      <c r="S30" s="72">
        <v>3</v>
      </c>
      <c r="T30" s="65"/>
      <c r="U30" s="74"/>
      <c r="V30" s="74"/>
      <c r="W30" s="73" t="str">
        <f t="shared" si="0"/>
        <v/>
      </c>
      <c r="X30" s="74"/>
      <c r="Y30" s="74"/>
      <c r="Z30" s="74"/>
      <c r="AA30" s="75" t="str">
        <f>IFERROR(IF(AND(AB29="Probabilidad",AB30="Probabilidad"),(AH29-(+AH29*W30)),IF(AND(AB29="Impacto",AB30="Probabilidad"),(W29-(+W29*W30)),IF(AB30="Impacto",AB29,""))),"")</f>
        <v/>
      </c>
      <c r="AB30" s="68" t="str">
        <f t="shared" si="3"/>
        <v/>
      </c>
      <c r="AC30" s="67"/>
      <c r="AD30" s="67"/>
      <c r="AE30" s="67"/>
      <c r="AF30" s="67"/>
      <c r="AG30" s="77" t="str">
        <f t="shared" si="5"/>
        <v/>
      </c>
      <c r="AH30" s="76" t="str">
        <f t="shared" si="1"/>
        <v/>
      </c>
      <c r="AI30" s="52" t="str">
        <f t="shared" si="4"/>
        <v/>
      </c>
      <c r="AJ30" s="53" t="str">
        <f>IFERROR(IF(AND(AB29="Impacto",AB30="Impacto"),(AJ29-(+AJ29*W30)),IF(AND(AB29="Probabilidad",AB30="Impacto"),(AJ28-(+AJ28*W30)),IF(AB30="Probabilidad",AJ29,""))),"")</f>
        <v/>
      </c>
      <c r="AK30" s="54" t="str">
        <f t="shared" si="2"/>
        <v/>
      </c>
      <c r="AL30" s="55"/>
      <c r="AM30" s="56"/>
      <c r="AN30" s="57"/>
      <c r="AO30" s="69"/>
      <c r="AP30" s="69"/>
      <c r="AQ30" s="69"/>
      <c r="AR30" s="58"/>
      <c r="AS30" s="58"/>
      <c r="AT30" s="56"/>
      <c r="AU30" s="57"/>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45.75" customHeight="1" x14ac:dyDescent="0.3">
      <c r="A31" s="266"/>
      <c r="B31" s="269"/>
      <c r="C31" s="269"/>
      <c r="D31" s="272"/>
      <c r="E31" s="272"/>
      <c r="F31" s="272"/>
      <c r="G31" s="275"/>
      <c r="H31" s="272"/>
      <c r="I31" s="272"/>
      <c r="J31" s="272"/>
      <c r="K31" s="266"/>
      <c r="L31" s="282"/>
      <c r="M31" s="285"/>
      <c r="N31" s="291"/>
      <c r="O31" s="285">
        <f ca="1">IF(NOT(ISERROR(MATCH(N31,_xlfn.ANCHORARRAY(G42),0))),M44&amp;"Por favor no seleccionar los criterios de impacto",N31)</f>
        <v>0</v>
      </c>
      <c r="P31" s="282"/>
      <c r="Q31" s="285"/>
      <c r="R31" s="288"/>
      <c r="S31" s="72">
        <v>4</v>
      </c>
      <c r="T31" s="65"/>
      <c r="U31" s="74"/>
      <c r="V31" s="74"/>
      <c r="W31" s="73" t="str">
        <f t="shared" si="0"/>
        <v/>
      </c>
      <c r="X31" s="74"/>
      <c r="Y31" s="74"/>
      <c r="Z31" s="74"/>
      <c r="AA31" s="75" t="str">
        <f>IFERROR(IF(AND(AB30="Probabilidad",AB31="Probabilidad"),(AH30-(+AH30*W31)),IF(AND(AB30="Impacto",AB31="Probabilidad"),(W30-(+W30*W31)),IF(AB31="Impacto",AB30,""))),"")</f>
        <v/>
      </c>
      <c r="AB31" s="68" t="str">
        <f t="shared" si="3"/>
        <v/>
      </c>
      <c r="AC31" s="67"/>
      <c r="AD31" s="67"/>
      <c r="AE31" s="67"/>
      <c r="AF31" s="67"/>
      <c r="AG31" s="77" t="str">
        <f t="shared" si="5"/>
        <v/>
      </c>
      <c r="AH31" s="76" t="str">
        <f t="shared" si="1"/>
        <v/>
      </c>
      <c r="AI31" s="52" t="str">
        <f t="shared" si="4"/>
        <v/>
      </c>
      <c r="AJ31" s="53" t="str">
        <f>IFERROR(IF(AND(AB30="Impacto",AB31="Impacto"),(AJ30-(+AJ30*W31)),IF(AND(AB30="Probabilidad",AB31="Impacto"),(AJ29-(+AJ29*W31)),IF(AB31="Probabilidad",AJ30,""))),"")</f>
        <v/>
      </c>
      <c r="AK31" s="54" t="str">
        <f t="shared" si="2"/>
        <v/>
      </c>
      <c r="AL31" s="55"/>
      <c r="AM31" s="56"/>
      <c r="AN31" s="57"/>
      <c r="AO31" s="69"/>
      <c r="AP31" s="69"/>
      <c r="AQ31" s="69"/>
      <c r="AR31" s="58"/>
      <c r="AS31" s="58"/>
      <c r="AT31" s="56"/>
      <c r="AU31" s="57"/>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row>
    <row r="32" spans="1:79" ht="45.75" customHeight="1" x14ac:dyDescent="0.3">
      <c r="A32" s="266"/>
      <c r="B32" s="269"/>
      <c r="C32" s="269"/>
      <c r="D32" s="272"/>
      <c r="E32" s="272"/>
      <c r="F32" s="272"/>
      <c r="G32" s="275"/>
      <c r="H32" s="272"/>
      <c r="I32" s="272"/>
      <c r="J32" s="272"/>
      <c r="K32" s="266"/>
      <c r="L32" s="282"/>
      <c r="M32" s="285"/>
      <c r="N32" s="291"/>
      <c r="O32" s="285">
        <f ca="1">IF(NOT(ISERROR(MATCH(N32,_xlfn.ANCHORARRAY(G43),0))),M45&amp;"Por favor no seleccionar los criterios de impacto",N32)</f>
        <v>0</v>
      </c>
      <c r="P32" s="282"/>
      <c r="Q32" s="285"/>
      <c r="R32" s="288"/>
      <c r="S32" s="72">
        <v>5</v>
      </c>
      <c r="T32" s="65"/>
      <c r="U32" s="74"/>
      <c r="V32" s="74"/>
      <c r="W32" s="73" t="str">
        <f t="shared" si="0"/>
        <v/>
      </c>
      <c r="X32" s="74"/>
      <c r="Y32" s="74"/>
      <c r="Z32" s="74"/>
      <c r="AA32" s="75" t="str">
        <f>IFERROR(IF(AND(AB31="Probabilidad",AB32="Probabilidad"),(AH31-(+AH31*W32)),IF(AND(AB31="Impacto",AB32="Probabilidad"),(W31-(+W31*W32)),IF(AB32="Impacto",AB31,""))),"")</f>
        <v/>
      </c>
      <c r="AB32" s="68" t="str">
        <f t="shared" si="3"/>
        <v/>
      </c>
      <c r="AC32" s="67"/>
      <c r="AD32" s="67"/>
      <c r="AE32" s="67"/>
      <c r="AF32" s="67"/>
      <c r="AG32" s="77" t="str">
        <f t="shared" si="5"/>
        <v/>
      </c>
      <c r="AH32" s="76" t="str">
        <f t="shared" si="1"/>
        <v/>
      </c>
      <c r="AI32" s="52" t="str">
        <f t="shared" si="4"/>
        <v/>
      </c>
      <c r="AJ32" s="53" t="str">
        <f>IFERROR(IF(AND(AB31="Impacto",AB32="Impacto"),(AJ31-(+AJ31*W32)),IF(AND(AB31="Probabilidad",AB32="Impacto"),(AJ30-(+AJ30*W32)),IF(AB32="Probabilidad",AJ31,""))),"")</f>
        <v/>
      </c>
      <c r="AK32" s="54" t="str">
        <f t="shared" si="2"/>
        <v/>
      </c>
      <c r="AL32" s="55"/>
      <c r="AM32" s="56"/>
      <c r="AN32" s="57"/>
      <c r="AO32" s="69"/>
      <c r="AP32" s="69"/>
      <c r="AQ32" s="69"/>
      <c r="AR32" s="58"/>
      <c r="AS32" s="58"/>
      <c r="AT32" s="56"/>
      <c r="AU32" s="57"/>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row>
    <row r="33" spans="1:79" ht="45.75" customHeight="1" x14ac:dyDescent="0.3">
      <c r="A33" s="267"/>
      <c r="B33" s="270"/>
      <c r="C33" s="270"/>
      <c r="D33" s="273"/>
      <c r="E33" s="273"/>
      <c r="F33" s="273"/>
      <c r="G33" s="276"/>
      <c r="H33" s="273"/>
      <c r="I33" s="273"/>
      <c r="J33" s="273"/>
      <c r="K33" s="267"/>
      <c r="L33" s="283"/>
      <c r="M33" s="286"/>
      <c r="N33" s="292"/>
      <c r="O33" s="286">
        <f ca="1">IF(NOT(ISERROR(MATCH(N33,_xlfn.ANCHORARRAY(G44),0))),M46&amp;"Por favor no seleccionar los criterios de impacto",N33)</f>
        <v>0</v>
      </c>
      <c r="P33" s="283"/>
      <c r="Q33" s="286"/>
      <c r="R33" s="289"/>
      <c r="S33" s="72">
        <v>6</v>
      </c>
      <c r="T33" s="65"/>
      <c r="U33" s="74"/>
      <c r="V33" s="74"/>
      <c r="W33" s="73" t="str">
        <f t="shared" si="0"/>
        <v/>
      </c>
      <c r="X33" s="74"/>
      <c r="Y33" s="74"/>
      <c r="Z33" s="74"/>
      <c r="AA33" s="75" t="str">
        <f>IFERROR(IF(AND(AB32="Probabilidad",AB33="Probabilidad"),(AH32-(+AH32*W33)),IF(AND(AB32="Impacto",AB33="Probabilidad"),(W32-(+W32*W33)),IF(AB33="Impacto",AB32,""))),"")</f>
        <v/>
      </c>
      <c r="AB33" s="68" t="str">
        <f t="shared" si="3"/>
        <v/>
      </c>
      <c r="AC33" s="67"/>
      <c r="AD33" s="67"/>
      <c r="AE33" s="67"/>
      <c r="AF33" s="67"/>
      <c r="AG33" s="77" t="str">
        <f t="shared" si="5"/>
        <v/>
      </c>
      <c r="AH33" s="76" t="str">
        <f t="shared" si="1"/>
        <v/>
      </c>
      <c r="AI33" s="52" t="str">
        <f t="shared" si="4"/>
        <v/>
      </c>
      <c r="AJ33" s="53" t="str">
        <f>IFERROR(IF(AND(AB32="Impacto",AB33="Impacto"),(AJ32-(+AJ32*W33)),IF(AND(AB32="Probabilidad",AB33="Impacto"),(AJ31-(+AJ31*W33)),IF(AB33="Probabilidad",AJ32,""))),"")</f>
        <v/>
      </c>
      <c r="AK33" s="54" t="str">
        <f t="shared" si="2"/>
        <v/>
      </c>
      <c r="AL33" s="55"/>
      <c r="AM33" s="56"/>
      <c r="AN33" s="57"/>
      <c r="AO33" s="69"/>
      <c r="AP33" s="69"/>
      <c r="AQ33" s="69"/>
      <c r="AR33" s="58"/>
      <c r="AS33" s="58"/>
      <c r="AT33" s="56"/>
      <c r="AU33" s="57"/>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row>
    <row r="34" spans="1:79" ht="45.75" customHeight="1" x14ac:dyDescent="0.3">
      <c r="A34" s="265">
        <v>6</v>
      </c>
      <c r="B34" s="268"/>
      <c r="C34" s="268"/>
      <c r="D34" s="271"/>
      <c r="E34" s="271"/>
      <c r="F34" s="271"/>
      <c r="G34" s="274"/>
      <c r="H34" s="271"/>
      <c r="I34" s="271"/>
      <c r="J34" s="271"/>
      <c r="K34" s="265"/>
      <c r="L34" s="281" t="str">
        <f>IF(K34&lt;=0,"",IF(K34&lt;="La actividad que conlleva el riesgo se ejecuta como máximos 2 veces por año","Muy Baja",IF(K34="La actividad que conlleva el riesgo se ejecuta de 3 a 24 veces por año","Baja",IF(K34="La actividad que conlleva el riesgo se ejecuta de 24 a 500 veces por año","Media",IF(K34="La actividad que conlleva el riesgo se ejecuta mínimo 500 veces al año y máximo 5000 veces por año","Alta","Muy Alta")))))</f>
        <v/>
      </c>
      <c r="M34" s="284" t="str">
        <f>IF(L34="","",IF(L34="Muy Baja",0.2,IF(L34="Baja",0.4,IF(L34="Media",0.6,IF(L34="Alta",0.8,IF(L34="Muy Alta",1,))))))</f>
        <v/>
      </c>
      <c r="N34" s="290"/>
      <c r="O34" s="284">
        <f>IF(NOT(ISERROR(MATCH(N34,'[1]Tabla Impacto'!$B$221:$B$223,0))),'[1]Tabla Impacto'!$F$223&amp;"Por favor no seleccionar los criterios de impacto(Afectación Económica o presupuestal y Pérdida Reputacional)",N34)</f>
        <v>0</v>
      </c>
      <c r="P34" s="281" t="str">
        <f>IF(OR(O34='[1]Tabla Impacto'!$C$11,O34='[1]Tabla Impacto'!$D$11),"Leve",IF(OR(O34='[1]Tabla Impacto'!$C$12,O34='[1]Tabla Impacto'!$D$12),"Menor",IF(OR(O34='[1]Tabla Impacto'!$C$13,O34='[1]Tabla Impacto'!$D$13),"Moderado",IF(OR(O34='[1]Tabla Impacto'!$C$14,O34='[1]Tabla Impacto'!$D$14),"Mayor",IF(OR(O34='[1]Tabla Impacto'!$C$15,O34='[1]Tabla Impacto'!$D$15),"Catastrófico","")))))</f>
        <v/>
      </c>
      <c r="Q34" s="284" t="str">
        <f>IF(P34="","",IF(P34="Leve",0.2,IF(P34="Menor",0.4,IF(P34="Moderado",0.6,IF(P34="Mayor",0.8,IF(P34="Catastrófico",1,))))))</f>
        <v/>
      </c>
      <c r="R34" s="287" t="str">
        <f>IF(OR(AND(L34="Muy Baja",P34="Leve"),AND(L34="Muy Baja",P34="Menor"),AND(L34="Baja",P34="Leve")),"Bajo",IF(OR(AND(L34="Muy baja",P34="Moderado"),AND(L34="Baja",P34="Menor"),AND(L34="Baja",P34="Moderado"),AND(L34="Media",P34="Leve"),AND(L34="Media",P34="Menor"),AND(L34="Media",P34="Moderado"),AND(L34="Alta",P34="Leve"),AND(L34="Alta",P34="Menor")),"Moderado",IF(OR(AND(L34="Muy Baja",P34="Mayor"),AND(L34="Baja",P34="Mayor"),AND(L34="Media",P34="Mayor"),AND(L34="Alta",P34="Moderado"),AND(L34="Alta",P34="Mayor"),AND(L34="Muy Alta",P34="Leve"),AND(L34="Muy Alta",P34="Menor"),AND(L34="Muy Alta",P34="Moderado"),AND(L34="Muy Alta",P34="Mayor")),"Alto",IF(OR(AND(L34="Muy Baja",P34="Catastrófico"),AND(L34="Baja",P34="Catastrófico"),AND(L34="Media",P34="Catastrófico"),AND(L34="Alta",P34="Catastrófico"),AND(L34="Muy Alta",P34="Catastrófico")),"Extremo",""))))</f>
        <v/>
      </c>
      <c r="S34" s="72">
        <v>1</v>
      </c>
      <c r="T34" s="65"/>
      <c r="U34" s="51"/>
      <c r="V34" s="51"/>
      <c r="W34" s="73" t="str">
        <f t="shared" si="0"/>
        <v/>
      </c>
      <c r="X34" s="51"/>
      <c r="Y34" s="51"/>
      <c r="Z34" s="51"/>
      <c r="AA34" s="67" t="str">
        <f>IFERROR(IF(AB34="Probabilidad",(M34-(+M34*W34)),IF(AB34="Impacto",M34,"")),"")</f>
        <v/>
      </c>
      <c r="AB34" s="68" t="str">
        <f t="shared" si="3"/>
        <v/>
      </c>
      <c r="AC34" s="67"/>
      <c r="AD34" s="67"/>
      <c r="AE34" s="67"/>
      <c r="AF34" s="67"/>
      <c r="AG34" s="77" t="str">
        <f t="shared" si="5"/>
        <v/>
      </c>
      <c r="AH34" s="76" t="str">
        <f t="shared" si="1"/>
        <v/>
      </c>
      <c r="AI34" s="52" t="str">
        <f t="shared" si="4"/>
        <v/>
      </c>
      <c r="AJ34" s="53" t="str">
        <f>IFERROR(IF(AB34="Impacto",(Q34-(+Q34*W34)),IF(AB34="Probabilidad",Q34,"")),"")</f>
        <v/>
      </c>
      <c r="AK34" s="54" t="str">
        <f t="shared" si="2"/>
        <v/>
      </c>
      <c r="AL34" s="55"/>
      <c r="AM34" s="56"/>
      <c r="AN34" s="57"/>
      <c r="AO34" s="69"/>
      <c r="AP34" s="69"/>
      <c r="AQ34" s="69"/>
      <c r="AR34" s="58"/>
      <c r="AS34" s="58"/>
      <c r="AT34" s="56"/>
      <c r="AU34" s="57"/>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row>
    <row r="35" spans="1:79" ht="45.75" customHeight="1" x14ac:dyDescent="0.3">
      <c r="A35" s="266"/>
      <c r="B35" s="269"/>
      <c r="C35" s="269"/>
      <c r="D35" s="272"/>
      <c r="E35" s="272"/>
      <c r="F35" s="272"/>
      <c r="G35" s="275"/>
      <c r="H35" s="272"/>
      <c r="I35" s="272"/>
      <c r="J35" s="272"/>
      <c r="K35" s="266"/>
      <c r="L35" s="282"/>
      <c r="M35" s="285"/>
      <c r="N35" s="291"/>
      <c r="O35" s="285">
        <f ca="1">IF(NOT(ISERROR(MATCH(N35,_xlfn.ANCHORARRAY(G46),0))),M48&amp;"Por favor no seleccionar los criterios de impacto",N35)</f>
        <v>0</v>
      </c>
      <c r="P35" s="282"/>
      <c r="Q35" s="285"/>
      <c r="R35" s="288"/>
      <c r="S35" s="72">
        <v>2</v>
      </c>
      <c r="T35" s="65"/>
      <c r="U35" s="74"/>
      <c r="V35" s="74"/>
      <c r="W35" s="73" t="str">
        <f t="shared" si="0"/>
        <v/>
      </c>
      <c r="X35" s="74"/>
      <c r="Y35" s="74"/>
      <c r="Z35" s="74"/>
      <c r="AA35" s="75" t="str">
        <f>IFERROR(IF(AND(AB34="Probabilidad",AB35="Probabilidad"),(AH34-(+AH34*W35)),IF(AB35="Probabilidad",(M34-(+M34*W35)),IF(AB35="Impacto",AH34,""))),"")</f>
        <v/>
      </c>
      <c r="AB35" s="68" t="str">
        <f t="shared" si="3"/>
        <v/>
      </c>
      <c r="AC35" s="67"/>
      <c r="AD35" s="67"/>
      <c r="AE35" s="67"/>
      <c r="AF35" s="67"/>
      <c r="AG35" s="77" t="str">
        <f t="shared" si="5"/>
        <v/>
      </c>
      <c r="AH35" s="76" t="str">
        <f t="shared" si="1"/>
        <v/>
      </c>
      <c r="AI35" s="52" t="str">
        <f t="shared" si="4"/>
        <v/>
      </c>
      <c r="AJ35" s="53" t="str">
        <f>IFERROR(IF(AND(AB34="Impacto",AB35="Impacto"),(AJ34-(+AJ34*W35)),IF(AB35="Impacto",($Q$10-(+$Q$10*AB35)),IF(AB35="Probabilidad",AJ34,""))),"")</f>
        <v/>
      </c>
      <c r="AK35" s="54" t="str">
        <f t="shared" si="2"/>
        <v/>
      </c>
      <c r="AL35" s="55"/>
      <c r="AM35" s="56"/>
      <c r="AN35" s="57"/>
      <c r="AO35" s="69"/>
      <c r="AP35" s="69"/>
      <c r="AQ35" s="69"/>
      <c r="AR35" s="58"/>
      <c r="AS35" s="58"/>
      <c r="AT35" s="56"/>
      <c r="AU35" s="57"/>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row>
    <row r="36" spans="1:79" ht="45.75" customHeight="1" x14ac:dyDescent="0.3">
      <c r="A36" s="266"/>
      <c r="B36" s="269"/>
      <c r="C36" s="269"/>
      <c r="D36" s="272"/>
      <c r="E36" s="272"/>
      <c r="F36" s="272"/>
      <c r="G36" s="275"/>
      <c r="H36" s="272"/>
      <c r="I36" s="272"/>
      <c r="J36" s="272"/>
      <c r="K36" s="266"/>
      <c r="L36" s="282"/>
      <c r="M36" s="285"/>
      <c r="N36" s="291"/>
      <c r="O36" s="285">
        <f ca="1">IF(NOT(ISERROR(MATCH(N36,_xlfn.ANCHORARRAY(G47),0))),M49&amp;"Por favor no seleccionar los criterios de impacto",N36)</f>
        <v>0</v>
      </c>
      <c r="P36" s="282"/>
      <c r="Q36" s="285"/>
      <c r="R36" s="288"/>
      <c r="S36" s="72">
        <v>3</v>
      </c>
      <c r="T36" s="65"/>
      <c r="U36" s="74"/>
      <c r="V36" s="74"/>
      <c r="W36" s="73" t="str">
        <f t="shared" ref="W36:W63" si="7">IF(AND(U36="Preventivo",V36="Automático"),"50%",IF(AND(U36="Preventivo",V36="Manual"),"40%",IF(AND(U36="Detectivo",V36="Automático"),"40%",IF(AND(U36="Detectivo",V36="Manual"),"30%",IF(AND(U36="Correctivo",V36="Automático"),"35%",IF(AND(U36="Correctivo",V36="Manual"),"25%",""))))))</f>
        <v/>
      </c>
      <c r="X36" s="74"/>
      <c r="Y36" s="74"/>
      <c r="Z36" s="74"/>
      <c r="AA36" s="75" t="str">
        <f>IFERROR(IF(AND(AB35="Probabilidad",AB36="Probabilidad"),(AH35-(+AH35*W36)),IF(AND(AB35="Impacto",AB36="Probabilidad"),(W35-(+W35*W36)),IF(AB36="Impacto",AB35,""))),"")</f>
        <v/>
      </c>
      <c r="AB36" s="68" t="str">
        <f t="shared" si="3"/>
        <v/>
      </c>
      <c r="AC36" s="67"/>
      <c r="AD36" s="67"/>
      <c r="AE36" s="67"/>
      <c r="AF36" s="67"/>
      <c r="AG36" s="77" t="str">
        <f t="shared" si="5"/>
        <v/>
      </c>
      <c r="AH36" s="76" t="str">
        <f t="shared" si="1"/>
        <v/>
      </c>
      <c r="AI36" s="52" t="str">
        <f t="shared" si="4"/>
        <v/>
      </c>
      <c r="AJ36" s="53" t="str">
        <f>IFERROR(IF(AND(AB35="Impacto",AB36="Impacto"),(AJ35-(+AJ35*W36)),IF(AND(AB35="Probabilidad",AB36="Impacto"),(AJ34-(+AJ34*W36)),IF(AB36="Probabilidad",AJ35,""))),"")</f>
        <v/>
      </c>
      <c r="AK36" s="54" t="str">
        <f t="shared" ref="AK36:AK63" si="8">IFERROR(IF(OR(AND(AG36="Muy Baja",AI36="Leve"),AND(AG36="Muy Baja",AI36="Menor"),AND(AG36="Baja",AI36="Leve")),"Bajo",IF(OR(AND(AG36="Muy baja",AI36="Moderado"),AND(AG36="Baja",AI36="Menor"),AND(AG36="Baja",AI36="Moderado"),AND(AG36="Media",AI36="Leve"),AND(AG36="Media",AI36="Menor"),AND(AG36="Media",AI36="Moderado"),AND(AG36="Alta",AI36="Leve"),AND(AG36="Alta",AI36="Menor")),"Moderado",IF(OR(AND(AG36="Muy Baja",AI36="Mayor"),AND(AG36="Baja",AI36="Mayor"),AND(AG36="Media",AI36="Mayor"),AND(AG36="Alta",AI36="Moderado"),AND(AG36="Alta",AI36="Mayor"),AND(AG36="Muy Alta",AI36="Leve"),AND(AG36="Muy Alta",AI36="Menor"),AND(AG36="Muy Alta",AI36="Moderado"),AND(AG36="Muy Alta",AI36="Mayor")),"Alto",IF(OR(AND(AG36="Muy Baja",AI36="Catastrófico"),AND(AG36="Baja",AI36="Catastrófico"),AND(AG36="Media",AI36="Catastrófico"),AND(AG36="Alta",AI36="Catastrófico"),AND(AG36="Muy Alta",AI36="Catastrófico")),"Extremo","")))),"")</f>
        <v/>
      </c>
      <c r="AL36" s="55"/>
      <c r="AM36" s="56"/>
      <c r="AN36" s="57"/>
      <c r="AO36" s="69"/>
      <c r="AP36" s="69"/>
      <c r="AQ36" s="69"/>
      <c r="AR36" s="58"/>
      <c r="AS36" s="58"/>
      <c r="AT36" s="56"/>
      <c r="AU36" s="57"/>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row>
    <row r="37" spans="1:79" ht="45.75" customHeight="1" x14ac:dyDescent="0.3">
      <c r="A37" s="266"/>
      <c r="B37" s="269"/>
      <c r="C37" s="269"/>
      <c r="D37" s="272"/>
      <c r="E37" s="272"/>
      <c r="F37" s="272"/>
      <c r="G37" s="275"/>
      <c r="H37" s="272"/>
      <c r="I37" s="272"/>
      <c r="J37" s="272"/>
      <c r="K37" s="266"/>
      <c r="L37" s="282"/>
      <c r="M37" s="285"/>
      <c r="N37" s="291"/>
      <c r="O37" s="285">
        <f ca="1">IF(NOT(ISERROR(MATCH(N37,_xlfn.ANCHORARRAY(G48),0))),M50&amp;"Por favor no seleccionar los criterios de impacto",N37)</f>
        <v>0</v>
      </c>
      <c r="P37" s="282"/>
      <c r="Q37" s="285"/>
      <c r="R37" s="288"/>
      <c r="S37" s="72">
        <v>4</v>
      </c>
      <c r="T37" s="65"/>
      <c r="U37" s="74"/>
      <c r="V37" s="74"/>
      <c r="W37" s="73" t="str">
        <f t="shared" si="7"/>
        <v/>
      </c>
      <c r="X37" s="74"/>
      <c r="Y37" s="74"/>
      <c r="Z37" s="74"/>
      <c r="AA37" s="75" t="str">
        <f>IFERROR(IF(AND(AB36="Probabilidad",AB37="Probabilidad"),(AH36-(+AH36*W37)),IF(AND(AB36="Impacto",AB37="Probabilidad"),(W36-(+W36*W37)),IF(AB37="Impacto",AB36,""))),"")</f>
        <v/>
      </c>
      <c r="AB37" s="68" t="str">
        <f t="shared" si="3"/>
        <v/>
      </c>
      <c r="AC37" s="67"/>
      <c r="AD37" s="67"/>
      <c r="AE37" s="67"/>
      <c r="AF37" s="67"/>
      <c r="AG37" s="77" t="str">
        <f t="shared" si="5"/>
        <v/>
      </c>
      <c r="AH37" s="76" t="str">
        <f t="shared" si="1"/>
        <v/>
      </c>
      <c r="AI37" s="52" t="str">
        <f t="shared" si="4"/>
        <v/>
      </c>
      <c r="AJ37" s="53" t="str">
        <f>IFERROR(IF(AND(AB36="Impacto",AB37="Impacto"),(AJ36-(+AJ36*W37)),IF(AND(AB36="Probabilidad",AB37="Impacto"),(AJ35-(+AJ35*W37)),IF(AB37="Probabilidad",AJ36,""))),"")</f>
        <v/>
      </c>
      <c r="AK37" s="54" t="str">
        <f t="shared" si="8"/>
        <v/>
      </c>
      <c r="AL37" s="55"/>
      <c r="AM37" s="56"/>
      <c r="AN37" s="57"/>
      <c r="AO37" s="69"/>
      <c r="AP37" s="69"/>
      <c r="AQ37" s="69"/>
      <c r="AR37" s="58"/>
      <c r="AS37" s="58"/>
      <c r="AT37" s="56"/>
      <c r="AU37" s="57"/>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row>
    <row r="38" spans="1:79" ht="45.75" customHeight="1" x14ac:dyDescent="0.3">
      <c r="A38" s="266"/>
      <c r="B38" s="269"/>
      <c r="C38" s="269"/>
      <c r="D38" s="272"/>
      <c r="E38" s="272"/>
      <c r="F38" s="272"/>
      <c r="G38" s="275"/>
      <c r="H38" s="272"/>
      <c r="I38" s="272"/>
      <c r="J38" s="272"/>
      <c r="K38" s="266"/>
      <c r="L38" s="282"/>
      <c r="M38" s="285"/>
      <c r="N38" s="291"/>
      <c r="O38" s="285">
        <f ca="1">IF(NOT(ISERROR(MATCH(N38,_xlfn.ANCHORARRAY(G49),0))),M51&amp;"Por favor no seleccionar los criterios de impacto",N38)</f>
        <v>0</v>
      </c>
      <c r="P38" s="282"/>
      <c r="Q38" s="285"/>
      <c r="R38" s="288"/>
      <c r="S38" s="72">
        <v>5</v>
      </c>
      <c r="T38" s="65"/>
      <c r="U38" s="74"/>
      <c r="V38" s="74"/>
      <c r="W38" s="73" t="str">
        <f t="shared" si="7"/>
        <v/>
      </c>
      <c r="X38" s="74"/>
      <c r="Y38" s="74"/>
      <c r="Z38" s="74"/>
      <c r="AA38" s="75" t="str">
        <f>IFERROR(IF(AND(AB37="Probabilidad",AB38="Probabilidad"),(AH37-(+AH37*W38)),IF(AND(AB37="Impacto",AB38="Probabilidad"),(W37-(+W37*W38)),IF(AB38="Impacto",AB37,""))),"")</f>
        <v/>
      </c>
      <c r="AB38" s="68" t="str">
        <f t="shared" si="3"/>
        <v/>
      </c>
      <c r="AC38" s="67"/>
      <c r="AD38" s="67"/>
      <c r="AE38" s="67"/>
      <c r="AF38" s="67"/>
      <c r="AG38" s="77" t="str">
        <f t="shared" si="5"/>
        <v/>
      </c>
      <c r="AH38" s="76" t="str">
        <f t="shared" si="1"/>
        <v/>
      </c>
      <c r="AI38" s="52" t="str">
        <f t="shared" si="4"/>
        <v/>
      </c>
      <c r="AJ38" s="53" t="str">
        <f>IFERROR(IF(AND(AB37="Impacto",AB38="Impacto"),(AJ37-(+AJ37*W38)),IF(AND(AB37="Probabilidad",AB38="Impacto"),(AJ36-(+AJ36*W38)),IF(AB38="Probabilidad",AJ37,""))),"")</f>
        <v/>
      </c>
      <c r="AK38" s="54" t="str">
        <f t="shared" si="8"/>
        <v/>
      </c>
      <c r="AL38" s="55"/>
      <c r="AM38" s="56"/>
      <c r="AN38" s="57"/>
      <c r="AO38" s="69"/>
      <c r="AP38" s="69"/>
      <c r="AQ38" s="69"/>
      <c r="AR38" s="58"/>
      <c r="AS38" s="58"/>
      <c r="AT38" s="56"/>
      <c r="AU38" s="57"/>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row>
    <row r="39" spans="1:79" ht="45.75" customHeight="1" x14ac:dyDescent="0.3">
      <c r="A39" s="267"/>
      <c r="B39" s="270"/>
      <c r="C39" s="270"/>
      <c r="D39" s="273"/>
      <c r="E39" s="273"/>
      <c r="F39" s="273"/>
      <c r="G39" s="276"/>
      <c r="H39" s="273"/>
      <c r="I39" s="273"/>
      <c r="J39" s="273"/>
      <c r="K39" s="267"/>
      <c r="L39" s="283"/>
      <c r="M39" s="286"/>
      <c r="N39" s="292"/>
      <c r="O39" s="286">
        <f ca="1">IF(NOT(ISERROR(MATCH(N39,_xlfn.ANCHORARRAY(G50),0))),M52&amp;"Por favor no seleccionar los criterios de impacto",N39)</f>
        <v>0</v>
      </c>
      <c r="P39" s="283"/>
      <c r="Q39" s="286"/>
      <c r="R39" s="289"/>
      <c r="S39" s="72">
        <v>6</v>
      </c>
      <c r="T39" s="65"/>
      <c r="U39" s="74"/>
      <c r="V39" s="74"/>
      <c r="W39" s="73" t="str">
        <f t="shared" si="7"/>
        <v/>
      </c>
      <c r="X39" s="74"/>
      <c r="Y39" s="74"/>
      <c r="Z39" s="74"/>
      <c r="AA39" s="75" t="str">
        <f>IFERROR(IF(AND(AB38="Probabilidad",AB39="Probabilidad"),(AH38-(+AH38*W39)),IF(AND(AB38="Impacto",AB39="Probabilidad"),(W38-(+W38*W39)),IF(AB39="Impacto",AB38,""))),"")</f>
        <v/>
      </c>
      <c r="AB39" s="68" t="str">
        <f t="shared" si="3"/>
        <v/>
      </c>
      <c r="AC39" s="67"/>
      <c r="AD39" s="67"/>
      <c r="AE39" s="67"/>
      <c r="AF39" s="67"/>
      <c r="AG39" s="77" t="str">
        <f t="shared" si="5"/>
        <v/>
      </c>
      <c r="AH39" s="76" t="str">
        <f t="shared" si="1"/>
        <v/>
      </c>
      <c r="AI39" s="52" t="str">
        <f t="shared" si="4"/>
        <v/>
      </c>
      <c r="AJ39" s="53" t="str">
        <f>IFERROR(IF(AND(AB38="Impacto",AB39="Impacto"),(AJ38-(+AJ38*W39)),IF(AND(AB38="Probabilidad",AB39="Impacto"),(AJ37-(+AJ37*W39)),IF(AB39="Probabilidad",AJ38,""))),"")</f>
        <v/>
      </c>
      <c r="AK39" s="54" t="str">
        <f t="shared" si="8"/>
        <v/>
      </c>
      <c r="AL39" s="55"/>
      <c r="AM39" s="56"/>
      <c r="AN39" s="57"/>
      <c r="AO39" s="69"/>
      <c r="AP39" s="69"/>
      <c r="AQ39" s="69"/>
      <c r="AR39" s="58"/>
      <c r="AS39" s="58"/>
      <c r="AT39" s="56"/>
      <c r="AU39" s="57"/>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ht="45.75" customHeight="1" x14ac:dyDescent="0.3">
      <c r="A40" s="265">
        <v>7</v>
      </c>
      <c r="B40" s="268"/>
      <c r="C40" s="268"/>
      <c r="D40" s="271"/>
      <c r="E40" s="271"/>
      <c r="F40" s="271"/>
      <c r="G40" s="274"/>
      <c r="H40" s="271"/>
      <c r="I40" s="271"/>
      <c r="J40" s="271"/>
      <c r="K40" s="265"/>
      <c r="L40" s="281" t="str">
        <f>IF(K40&lt;=0,"",IF(K40&lt;="La actividad que conlleva el riesgo se ejecuta como máximos 2 veces por año","Muy Baja",IF(K40="La actividad que conlleva el riesgo se ejecuta de 3 a 24 veces por año","Baja",IF(K40="La actividad que conlleva el riesgo se ejecuta de 24 a 500 veces por año","Media",IF(K40="La actividad que conlleva el riesgo se ejecuta mínimo 500 veces al año y máximo 5000 veces por año","Alta","Muy Alta")))))</f>
        <v/>
      </c>
      <c r="M40" s="284" t="str">
        <f>IF(L40="","",IF(L40="Muy Baja",0.2,IF(L40="Baja",0.4,IF(L40="Media",0.6,IF(L40="Alta",0.8,IF(L40="Muy Alta",1,))))))</f>
        <v/>
      </c>
      <c r="N40" s="290"/>
      <c r="O40" s="284">
        <f>IF(NOT(ISERROR(MATCH(N40,'[1]Tabla Impacto'!$B$221:$B$223,0))),'[1]Tabla Impacto'!$F$223&amp;"Por favor no seleccionar los criterios de impacto(Afectación Económica o presupuestal y Pérdida Reputacional)",N40)</f>
        <v>0</v>
      </c>
      <c r="P40" s="281" t="str">
        <f>IF(OR(O40='[1]Tabla Impacto'!$C$11,O40='[1]Tabla Impacto'!$D$11),"Leve",IF(OR(O40='[1]Tabla Impacto'!$C$12,O40='[1]Tabla Impacto'!$D$12),"Menor",IF(OR(O40='[1]Tabla Impacto'!$C$13,O40='[1]Tabla Impacto'!$D$13),"Moderado",IF(OR(O40='[1]Tabla Impacto'!$C$14,O40='[1]Tabla Impacto'!$D$14),"Mayor",IF(OR(O40='[1]Tabla Impacto'!$C$15,O40='[1]Tabla Impacto'!$D$15),"Catastrófico","")))))</f>
        <v/>
      </c>
      <c r="Q40" s="284" t="str">
        <f>IF(P40="","",IF(P40="Leve",0.2,IF(P40="Menor",0.4,IF(P40="Moderado",0.6,IF(P40="Mayor",0.8,IF(P40="Catastrófico",1,))))))</f>
        <v/>
      </c>
      <c r="R40" s="287" t="str">
        <f>IF(OR(AND(L40="Muy Baja",P40="Leve"),AND(L40="Muy Baja",P40="Menor"),AND(L40="Baja",P40="Leve")),"Bajo",IF(OR(AND(L40="Muy baja",P40="Moderado"),AND(L40="Baja",P40="Menor"),AND(L40="Baja",P40="Moderado"),AND(L40="Media",P40="Leve"),AND(L40="Media",P40="Menor"),AND(L40="Media",P40="Moderado"),AND(L40="Alta",P40="Leve"),AND(L40="Alta",P40="Menor")),"Moderado",IF(OR(AND(L40="Muy Baja",P40="Mayor"),AND(L40="Baja",P40="Mayor"),AND(L40="Media",P40="Mayor"),AND(L40="Alta",P40="Moderado"),AND(L40="Alta",P40="Mayor"),AND(L40="Muy Alta",P40="Leve"),AND(L40="Muy Alta",P40="Menor"),AND(L40="Muy Alta",P40="Moderado"),AND(L40="Muy Alta",P40="Mayor")),"Alto",IF(OR(AND(L40="Muy Baja",P40="Catastrófico"),AND(L40="Baja",P40="Catastrófico"),AND(L40="Media",P40="Catastrófico"),AND(L40="Alta",P40="Catastrófico"),AND(L40="Muy Alta",P40="Catastrófico")),"Extremo",""))))</f>
        <v/>
      </c>
      <c r="S40" s="72">
        <v>1</v>
      </c>
      <c r="T40" s="65"/>
      <c r="U40" s="51"/>
      <c r="V40" s="51"/>
      <c r="W40" s="73" t="str">
        <f t="shared" si="7"/>
        <v/>
      </c>
      <c r="X40" s="51"/>
      <c r="Y40" s="51"/>
      <c r="Z40" s="51"/>
      <c r="AA40" s="67" t="str">
        <f>IFERROR(IF(AB40="Probabilidad",(M40-(+M40*W40)),IF(AB40="Impacto",M40,"")),"")</f>
        <v/>
      </c>
      <c r="AB40" s="68" t="str">
        <f t="shared" si="3"/>
        <v/>
      </c>
      <c r="AC40" s="67"/>
      <c r="AD40" s="67"/>
      <c r="AE40" s="67"/>
      <c r="AF40" s="67"/>
      <c r="AG40" s="77" t="str">
        <f t="shared" si="5"/>
        <v/>
      </c>
      <c r="AH40" s="76" t="str">
        <f t="shared" si="1"/>
        <v/>
      </c>
      <c r="AI40" s="52" t="str">
        <f t="shared" si="4"/>
        <v/>
      </c>
      <c r="AJ40" s="53" t="str">
        <f>IFERROR(IF(AB40="Impacto",(Q40-(+Q40*W40)),IF(AB40="Probabilidad",Q40,"")),"")</f>
        <v/>
      </c>
      <c r="AK40" s="54" t="str">
        <f t="shared" si="8"/>
        <v/>
      </c>
      <c r="AL40" s="55"/>
      <c r="AM40" s="56"/>
      <c r="AN40" s="57"/>
      <c r="AO40" s="69"/>
      <c r="AP40" s="69"/>
      <c r="AQ40" s="69"/>
      <c r="AR40" s="58"/>
      <c r="AS40" s="58"/>
      <c r="AT40" s="56"/>
      <c r="AU40" s="57"/>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row>
    <row r="41" spans="1:79" ht="45.75" customHeight="1" x14ac:dyDescent="0.3">
      <c r="A41" s="266"/>
      <c r="B41" s="269"/>
      <c r="C41" s="269"/>
      <c r="D41" s="272"/>
      <c r="E41" s="272"/>
      <c r="F41" s="272"/>
      <c r="G41" s="275"/>
      <c r="H41" s="272"/>
      <c r="I41" s="272"/>
      <c r="J41" s="272"/>
      <c r="K41" s="266"/>
      <c r="L41" s="282"/>
      <c r="M41" s="285"/>
      <c r="N41" s="291"/>
      <c r="O41" s="285">
        <f ca="1">IF(NOT(ISERROR(MATCH(N41,_xlfn.ANCHORARRAY(G52),0))),M54&amp;"Por favor no seleccionar los criterios de impacto",N41)</f>
        <v>0</v>
      </c>
      <c r="P41" s="282"/>
      <c r="Q41" s="285"/>
      <c r="R41" s="288"/>
      <c r="S41" s="72">
        <v>2</v>
      </c>
      <c r="T41" s="65"/>
      <c r="U41" s="74"/>
      <c r="V41" s="74"/>
      <c r="W41" s="73" t="str">
        <f t="shared" si="7"/>
        <v/>
      </c>
      <c r="X41" s="74"/>
      <c r="Y41" s="74"/>
      <c r="Z41" s="74"/>
      <c r="AA41" s="75" t="str">
        <f>IFERROR(IF(AND(AB40="Probabilidad",AB41="Probabilidad"),(AH40-(+AH40*W41)),IF(AB41="Probabilidad",(M40-(+M40*W41)),IF(AB41="Impacto",AH40,""))),"")</f>
        <v/>
      </c>
      <c r="AB41" s="68" t="str">
        <f t="shared" si="3"/>
        <v/>
      </c>
      <c r="AC41" s="67"/>
      <c r="AD41" s="67"/>
      <c r="AE41" s="67"/>
      <c r="AF41" s="67"/>
      <c r="AG41" s="77" t="str">
        <f t="shared" si="5"/>
        <v/>
      </c>
      <c r="AH41" s="76" t="str">
        <f t="shared" si="1"/>
        <v/>
      </c>
      <c r="AI41" s="52" t="str">
        <f t="shared" si="4"/>
        <v/>
      </c>
      <c r="AJ41" s="53" t="str">
        <f>IFERROR(IF(AND(AB40="Impacto",AB41="Impacto"),(AJ40-(+AJ40*W41)),IF(AB41="Impacto",($Q$10-(+$Q$10*AB41)),IF(AB41="Probabilidad",AJ40,""))),"")</f>
        <v/>
      </c>
      <c r="AK41" s="54" t="str">
        <f t="shared" si="8"/>
        <v/>
      </c>
      <c r="AL41" s="55"/>
      <c r="AM41" s="56"/>
      <c r="AN41" s="57"/>
      <c r="AO41" s="69"/>
      <c r="AP41" s="69"/>
      <c r="AQ41" s="69"/>
      <c r="AR41" s="58"/>
      <c r="AS41" s="58"/>
      <c r="AT41" s="56"/>
      <c r="AU41" s="57"/>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ht="45.75" customHeight="1" x14ac:dyDescent="0.3">
      <c r="A42" s="266"/>
      <c r="B42" s="269"/>
      <c r="C42" s="269"/>
      <c r="D42" s="272"/>
      <c r="E42" s="272"/>
      <c r="F42" s="272"/>
      <c r="G42" s="275"/>
      <c r="H42" s="272"/>
      <c r="I42" s="272"/>
      <c r="J42" s="272"/>
      <c r="K42" s="266"/>
      <c r="L42" s="282"/>
      <c r="M42" s="285"/>
      <c r="N42" s="291"/>
      <c r="O42" s="285">
        <f ca="1">IF(NOT(ISERROR(MATCH(N42,_xlfn.ANCHORARRAY(G53),0))),M55&amp;"Por favor no seleccionar los criterios de impacto",N42)</f>
        <v>0</v>
      </c>
      <c r="P42" s="282"/>
      <c r="Q42" s="285"/>
      <c r="R42" s="288"/>
      <c r="S42" s="72">
        <v>3</v>
      </c>
      <c r="T42" s="65"/>
      <c r="U42" s="74"/>
      <c r="V42" s="74"/>
      <c r="W42" s="73" t="str">
        <f t="shared" si="7"/>
        <v/>
      </c>
      <c r="X42" s="74"/>
      <c r="Y42" s="74"/>
      <c r="Z42" s="74"/>
      <c r="AA42" s="75" t="str">
        <f>IFERROR(IF(AND(AB41="Probabilidad",AB42="Probabilidad"),(AH41-(+AH41*W42)),IF(AND(AB41="Impacto",AB42="Probabilidad"),(W41-(+W41*W42)),IF(AB42="Impacto",AB41,""))),"")</f>
        <v/>
      </c>
      <c r="AB42" s="68" t="str">
        <f t="shared" si="3"/>
        <v/>
      </c>
      <c r="AC42" s="67"/>
      <c r="AD42" s="67"/>
      <c r="AE42" s="67"/>
      <c r="AF42" s="67"/>
      <c r="AG42" s="77" t="str">
        <f t="shared" si="5"/>
        <v/>
      </c>
      <c r="AH42" s="76" t="str">
        <f t="shared" si="1"/>
        <v/>
      </c>
      <c r="AI42" s="52" t="str">
        <f t="shared" si="4"/>
        <v/>
      </c>
      <c r="AJ42" s="53" t="str">
        <f>IFERROR(IF(AND(AB41="Impacto",AB42="Impacto"),(AJ41-(+AJ41*W42)),IF(AND(AB41="Probabilidad",AB42="Impacto"),(AJ40-(+AJ40*W42)),IF(AB42="Probabilidad",AJ41,""))),"")</f>
        <v/>
      </c>
      <c r="AK42" s="54" t="str">
        <f t="shared" si="8"/>
        <v/>
      </c>
      <c r="AL42" s="55"/>
      <c r="AM42" s="56"/>
      <c r="AN42" s="57"/>
      <c r="AO42" s="69"/>
      <c r="AP42" s="69"/>
      <c r="AQ42" s="69"/>
      <c r="AR42" s="58"/>
      <c r="AS42" s="58"/>
      <c r="AT42" s="56"/>
      <c r="AU42" s="57"/>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ht="45.75" customHeight="1" x14ac:dyDescent="0.3">
      <c r="A43" s="266"/>
      <c r="B43" s="269"/>
      <c r="C43" s="269"/>
      <c r="D43" s="272"/>
      <c r="E43" s="272"/>
      <c r="F43" s="272"/>
      <c r="G43" s="275"/>
      <c r="H43" s="272"/>
      <c r="I43" s="272"/>
      <c r="J43" s="272"/>
      <c r="K43" s="266"/>
      <c r="L43" s="282"/>
      <c r="M43" s="285"/>
      <c r="N43" s="291"/>
      <c r="O43" s="285">
        <f ca="1">IF(NOT(ISERROR(MATCH(N43,_xlfn.ANCHORARRAY(G54),0))),M56&amp;"Por favor no seleccionar los criterios de impacto",N43)</f>
        <v>0</v>
      </c>
      <c r="P43" s="282"/>
      <c r="Q43" s="285"/>
      <c r="R43" s="288"/>
      <c r="S43" s="72">
        <v>4</v>
      </c>
      <c r="T43" s="65"/>
      <c r="U43" s="74"/>
      <c r="V43" s="74"/>
      <c r="W43" s="73" t="str">
        <f t="shared" si="7"/>
        <v/>
      </c>
      <c r="X43" s="74"/>
      <c r="Y43" s="74"/>
      <c r="Z43" s="74"/>
      <c r="AA43" s="75" t="str">
        <f>IFERROR(IF(AND(AB42="Probabilidad",AB43="Probabilidad"),(AH42-(+AH42*W43)),IF(AND(AB42="Impacto",AB43="Probabilidad"),(W42-(+W42*W43)),IF(AB43="Impacto",AB42,""))),"")</f>
        <v/>
      </c>
      <c r="AB43" s="68" t="str">
        <f t="shared" si="3"/>
        <v/>
      </c>
      <c r="AC43" s="67"/>
      <c r="AD43" s="67"/>
      <c r="AE43" s="67"/>
      <c r="AF43" s="67"/>
      <c r="AG43" s="77" t="str">
        <f t="shared" si="5"/>
        <v/>
      </c>
      <c r="AH43" s="76" t="str">
        <f t="shared" si="1"/>
        <v/>
      </c>
      <c r="AI43" s="52" t="str">
        <f t="shared" si="4"/>
        <v/>
      </c>
      <c r="AJ43" s="53" t="str">
        <f>IFERROR(IF(AND(AB42="Impacto",AB43="Impacto"),(AJ42-(+AJ42*W43)),IF(AND(AB42="Probabilidad",AB43="Impacto"),(AJ41-(+AJ41*W43)),IF(AB43="Probabilidad",AJ42,""))),"")</f>
        <v/>
      </c>
      <c r="AK43" s="54" t="str">
        <f t="shared" si="8"/>
        <v/>
      </c>
      <c r="AL43" s="55"/>
      <c r="AM43" s="56"/>
      <c r="AN43" s="57"/>
      <c r="AO43" s="69"/>
      <c r="AP43" s="69"/>
      <c r="AQ43" s="69"/>
      <c r="AR43" s="58"/>
      <c r="AS43" s="58"/>
      <c r="AT43" s="56"/>
      <c r="AU43" s="57"/>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ht="45.75" customHeight="1" x14ac:dyDescent="0.3">
      <c r="A44" s="266"/>
      <c r="B44" s="269"/>
      <c r="C44" s="269"/>
      <c r="D44" s="272"/>
      <c r="E44" s="272"/>
      <c r="F44" s="272"/>
      <c r="G44" s="275"/>
      <c r="H44" s="272"/>
      <c r="I44" s="272"/>
      <c r="J44" s="272"/>
      <c r="K44" s="266"/>
      <c r="L44" s="282"/>
      <c r="M44" s="285"/>
      <c r="N44" s="291"/>
      <c r="O44" s="285">
        <f ca="1">IF(NOT(ISERROR(MATCH(N44,_xlfn.ANCHORARRAY(G55),0))),M57&amp;"Por favor no seleccionar los criterios de impacto",N44)</f>
        <v>0</v>
      </c>
      <c r="P44" s="282"/>
      <c r="Q44" s="285"/>
      <c r="R44" s="288"/>
      <c r="S44" s="72">
        <v>5</v>
      </c>
      <c r="T44" s="65"/>
      <c r="U44" s="74"/>
      <c r="V44" s="74"/>
      <c r="W44" s="73" t="str">
        <f t="shared" si="7"/>
        <v/>
      </c>
      <c r="X44" s="74"/>
      <c r="Y44" s="74"/>
      <c r="Z44" s="74"/>
      <c r="AA44" s="75" t="str">
        <f>IFERROR(IF(AND(AB43="Probabilidad",AB44="Probabilidad"),(AH43-(+AH43*W44)),IF(AND(AB43="Impacto",AB44="Probabilidad"),(W43-(+W43*W44)),IF(AB44="Impacto",AB43,""))),"")</f>
        <v/>
      </c>
      <c r="AB44" s="68" t="str">
        <f t="shared" si="3"/>
        <v/>
      </c>
      <c r="AC44" s="67"/>
      <c r="AD44" s="67"/>
      <c r="AE44" s="67"/>
      <c r="AF44" s="67"/>
      <c r="AG44" s="77" t="str">
        <f t="shared" si="5"/>
        <v/>
      </c>
      <c r="AH44" s="76" t="str">
        <f t="shared" si="1"/>
        <v/>
      </c>
      <c r="AI44" s="52" t="str">
        <f t="shared" si="4"/>
        <v/>
      </c>
      <c r="AJ44" s="53" t="str">
        <f>IFERROR(IF(AND(AB43="Impacto",AB44="Impacto"),(AJ43-(+AJ43*W44)),IF(AND(AB43="Probabilidad",AB44="Impacto"),(AJ42-(+AJ42*W44)),IF(AB44="Probabilidad",AJ43,""))),"")</f>
        <v/>
      </c>
      <c r="AK44" s="54" t="str">
        <f t="shared" si="8"/>
        <v/>
      </c>
      <c r="AL44" s="55"/>
      <c r="AM44" s="56"/>
      <c r="AN44" s="57"/>
      <c r="AO44" s="69"/>
      <c r="AP44" s="69"/>
      <c r="AQ44" s="69"/>
      <c r="AR44" s="58"/>
      <c r="AS44" s="58"/>
      <c r="AT44" s="56"/>
      <c r="AU44" s="57"/>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row>
    <row r="45" spans="1:79" ht="45.75" customHeight="1" x14ac:dyDescent="0.3">
      <c r="A45" s="267"/>
      <c r="B45" s="270"/>
      <c r="C45" s="270"/>
      <c r="D45" s="273"/>
      <c r="E45" s="273"/>
      <c r="F45" s="273"/>
      <c r="G45" s="276"/>
      <c r="H45" s="273"/>
      <c r="I45" s="273"/>
      <c r="J45" s="273"/>
      <c r="K45" s="267"/>
      <c r="L45" s="283"/>
      <c r="M45" s="286"/>
      <c r="N45" s="292"/>
      <c r="O45" s="286">
        <f ca="1">IF(NOT(ISERROR(MATCH(N45,_xlfn.ANCHORARRAY(G56),0))),M58&amp;"Por favor no seleccionar los criterios de impacto",N45)</f>
        <v>0</v>
      </c>
      <c r="P45" s="283"/>
      <c r="Q45" s="286"/>
      <c r="R45" s="289"/>
      <c r="S45" s="72">
        <v>6</v>
      </c>
      <c r="T45" s="65"/>
      <c r="U45" s="74"/>
      <c r="V45" s="74"/>
      <c r="W45" s="73" t="str">
        <f t="shared" si="7"/>
        <v/>
      </c>
      <c r="X45" s="74"/>
      <c r="Y45" s="74"/>
      <c r="Z45" s="74"/>
      <c r="AA45" s="75" t="str">
        <f>IFERROR(IF(AND(AB44="Probabilidad",AB45="Probabilidad"),(AH44-(+AH44*W45)),IF(AND(AB44="Impacto",AB45="Probabilidad"),(W44-(+W44*W45)),IF(AB45="Impacto",AB44,""))),"")</f>
        <v/>
      </c>
      <c r="AB45" s="68" t="str">
        <f t="shared" si="3"/>
        <v/>
      </c>
      <c r="AC45" s="67"/>
      <c r="AD45" s="67"/>
      <c r="AE45" s="67"/>
      <c r="AF45" s="67"/>
      <c r="AG45" s="77" t="str">
        <f t="shared" si="5"/>
        <v/>
      </c>
      <c r="AH45" s="76" t="str">
        <f t="shared" si="1"/>
        <v/>
      </c>
      <c r="AI45" s="52" t="str">
        <f t="shared" si="4"/>
        <v/>
      </c>
      <c r="AJ45" s="53" t="str">
        <f>IFERROR(IF(AND(AB44="Impacto",AB45="Impacto"),(AJ44-(+AJ44*W45)),IF(AND(AB44="Probabilidad",AB45="Impacto"),(AJ43-(+AJ43*W45)),IF(AB45="Probabilidad",AJ44,""))),"")</f>
        <v/>
      </c>
      <c r="AK45" s="54" t="str">
        <f t="shared" si="8"/>
        <v/>
      </c>
      <c r="AL45" s="55"/>
      <c r="AM45" s="56"/>
      <c r="AN45" s="57"/>
      <c r="AO45" s="69"/>
      <c r="AP45" s="69"/>
      <c r="AQ45" s="69"/>
      <c r="AR45" s="58"/>
      <c r="AS45" s="58"/>
      <c r="AT45" s="56"/>
      <c r="AU45" s="57"/>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ht="45.75" customHeight="1" x14ac:dyDescent="0.3">
      <c r="A46" s="265"/>
      <c r="B46" s="268"/>
      <c r="C46" s="268"/>
      <c r="D46" s="271"/>
      <c r="E46" s="271"/>
      <c r="F46" s="271"/>
      <c r="G46" s="274"/>
      <c r="H46" s="271"/>
      <c r="I46" s="271"/>
      <c r="J46" s="271"/>
      <c r="K46" s="265"/>
      <c r="L46" s="281" t="str">
        <f>IF(K46&lt;=0,"",IF(K46&lt;="La actividad que conlleva el riesgo se ejecuta como máximos 2 veces por año","Muy Baja",IF(K46="La actividad que conlleva el riesgo se ejecuta de 3 a 24 veces por año","Baja",IF(K46="La actividad que conlleva el riesgo se ejecuta de 24 a 500 veces por año","Media",IF(K46="La actividad que conlleva el riesgo se ejecuta mínimo 500 veces al año y máximo 5000 veces por año","Alta","Muy Alta")))))</f>
        <v/>
      </c>
      <c r="M46" s="284" t="str">
        <f>IF(L46="","",IF(L46="Muy Baja",0.2,IF(L46="Baja",0.4,IF(L46="Media",0.6,IF(L46="Alta",0.8,IF(L46="Muy Alta",1,))))))</f>
        <v/>
      </c>
      <c r="N46" s="290"/>
      <c r="O46" s="284">
        <f>IF(NOT(ISERROR(MATCH(N46,'[1]Tabla Impacto'!$B$221:$B$223,0))),'[1]Tabla Impacto'!$F$223&amp;"Por favor no seleccionar los criterios de impacto(Afectación Económica o presupuestal y Pérdida Reputacional)",N46)</f>
        <v>0</v>
      </c>
      <c r="P46" s="281" t="str">
        <f>IF(OR(O46='[1]Tabla Impacto'!$C$11,O46='[1]Tabla Impacto'!$D$11),"Leve",IF(OR(O46='[1]Tabla Impacto'!$C$12,O46='[1]Tabla Impacto'!$D$12),"Menor",IF(OR(O46='[1]Tabla Impacto'!$C$13,O46='[1]Tabla Impacto'!$D$13),"Moderado",IF(OR(O46='[1]Tabla Impacto'!$C$14,O46='[1]Tabla Impacto'!$D$14),"Mayor",IF(OR(O46='[1]Tabla Impacto'!$C$15,O46='[1]Tabla Impacto'!$D$15),"Catastrófico","")))))</f>
        <v/>
      </c>
      <c r="Q46" s="284" t="str">
        <f>IF(P46="","",IF(P46="Leve",0.2,IF(P46="Menor",0.4,IF(P46="Moderado",0.6,IF(P46="Mayor",0.8,IF(P46="Catastrófico",1,))))))</f>
        <v/>
      </c>
      <c r="R46" s="287" t="str">
        <f>IF(OR(AND(L46="Muy Baja",P46="Leve"),AND(L46="Muy Baja",P46="Menor"),AND(L46="Baja",P46="Leve")),"Bajo",IF(OR(AND(L46="Muy baja",P46="Moderado"),AND(L46="Baja",P46="Menor"),AND(L46="Baja",P46="Moderado"),AND(L46="Media",P46="Leve"),AND(L46="Media",P46="Menor"),AND(L46="Media",P46="Moderado"),AND(L46="Alta",P46="Leve"),AND(L46="Alta",P46="Menor")),"Moderado",IF(OR(AND(L46="Muy Baja",P46="Mayor"),AND(L46="Baja",P46="Mayor"),AND(L46="Media",P46="Mayor"),AND(L46="Alta",P46="Moderado"),AND(L46="Alta",P46="Mayor"),AND(L46="Muy Alta",P46="Leve"),AND(L46="Muy Alta",P46="Menor"),AND(L46="Muy Alta",P46="Moderado"),AND(L46="Muy Alta",P46="Mayor")),"Alto",IF(OR(AND(L46="Muy Baja",P46="Catastrófico"),AND(L46="Baja",P46="Catastrófico"),AND(L46="Media",P46="Catastrófico"),AND(L46="Alta",P46="Catastrófico"),AND(L46="Muy Alta",P46="Catastrófico")),"Extremo",""))))</f>
        <v/>
      </c>
      <c r="S46" s="72">
        <v>1</v>
      </c>
      <c r="T46" s="65"/>
      <c r="U46" s="51"/>
      <c r="V46" s="51"/>
      <c r="W46" s="73" t="str">
        <f t="shared" si="7"/>
        <v/>
      </c>
      <c r="X46" s="51"/>
      <c r="Y46" s="51"/>
      <c r="Z46" s="51"/>
      <c r="AA46" s="67" t="str">
        <f>IFERROR(IF(AB46="Probabilidad",(M46-(+M46*W46)),IF(AB46="Impacto",M46,"")),"")</f>
        <v/>
      </c>
      <c r="AB46" s="68" t="str">
        <f t="shared" si="3"/>
        <v/>
      </c>
      <c r="AC46" s="67"/>
      <c r="AD46" s="67"/>
      <c r="AE46" s="67"/>
      <c r="AF46" s="67"/>
      <c r="AG46" s="77" t="str">
        <f t="shared" si="5"/>
        <v/>
      </c>
      <c r="AH46" s="76" t="str">
        <f t="shared" si="1"/>
        <v/>
      </c>
      <c r="AI46" s="52" t="str">
        <f t="shared" si="4"/>
        <v/>
      </c>
      <c r="AJ46" s="53" t="str">
        <f>IFERROR(IF(AB46="Impacto",(Q46-(+Q46*W46)),IF(AB46="Probabilidad",Q46,"")),"")</f>
        <v/>
      </c>
      <c r="AK46" s="54" t="str">
        <f t="shared" si="8"/>
        <v/>
      </c>
      <c r="AL46" s="55"/>
      <c r="AM46" s="56"/>
      <c r="AN46" s="57"/>
      <c r="AO46" s="69"/>
      <c r="AP46" s="69"/>
      <c r="AQ46" s="69"/>
      <c r="AR46" s="58"/>
      <c r="AS46" s="58"/>
      <c r="AT46" s="56"/>
      <c r="AU46" s="57"/>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row>
    <row r="47" spans="1:79" ht="45.75" customHeight="1" x14ac:dyDescent="0.3">
      <c r="A47" s="266"/>
      <c r="B47" s="269"/>
      <c r="C47" s="269"/>
      <c r="D47" s="272"/>
      <c r="E47" s="272"/>
      <c r="F47" s="272"/>
      <c r="G47" s="275"/>
      <c r="H47" s="272"/>
      <c r="I47" s="272"/>
      <c r="J47" s="272"/>
      <c r="K47" s="266"/>
      <c r="L47" s="282"/>
      <c r="M47" s="285"/>
      <c r="N47" s="291"/>
      <c r="O47" s="285">
        <f ca="1">IF(NOT(ISERROR(MATCH(N47,_xlfn.ANCHORARRAY(G58),0))),M60&amp;"Por favor no seleccionar los criterios de impacto",N47)</f>
        <v>0</v>
      </c>
      <c r="P47" s="282"/>
      <c r="Q47" s="285"/>
      <c r="R47" s="288"/>
      <c r="S47" s="72">
        <v>2</v>
      </c>
      <c r="T47" s="65"/>
      <c r="U47" s="74"/>
      <c r="V47" s="74"/>
      <c r="W47" s="73" t="str">
        <f t="shared" si="7"/>
        <v/>
      </c>
      <c r="X47" s="74"/>
      <c r="Y47" s="74"/>
      <c r="Z47" s="74"/>
      <c r="AA47" s="75" t="str">
        <f>IFERROR(IF(AND(AB46="Probabilidad",AB47="Probabilidad"),(AH46-(+AH46*W47)),IF(AB47="Probabilidad",(M46-(+M46*W47)),IF(AB47="Impacto",AH46,""))),"")</f>
        <v/>
      </c>
      <c r="AB47" s="68" t="str">
        <f t="shared" si="3"/>
        <v/>
      </c>
      <c r="AC47" s="67"/>
      <c r="AD47" s="67"/>
      <c r="AE47" s="67"/>
      <c r="AF47" s="67"/>
      <c r="AG47" s="77" t="str">
        <f t="shared" si="5"/>
        <v/>
      </c>
      <c r="AH47" s="76" t="str">
        <f t="shared" si="1"/>
        <v/>
      </c>
      <c r="AI47" s="52" t="str">
        <f t="shared" si="4"/>
        <v/>
      </c>
      <c r="AJ47" s="53" t="str">
        <f>IFERROR(IF(AND(AB46="Impacto",AB47="Impacto"),(AJ46-(+AJ46*W47)),IF(AB47="Impacto",($Q$10-(+$Q$10*AB47)),IF(AB47="Probabilidad",AJ46,""))),"")</f>
        <v/>
      </c>
      <c r="AK47" s="54" t="str">
        <f t="shared" si="8"/>
        <v/>
      </c>
      <c r="AL47" s="55"/>
      <c r="AM47" s="56"/>
      <c r="AN47" s="57"/>
      <c r="AO47" s="69"/>
      <c r="AP47" s="69"/>
      <c r="AQ47" s="69"/>
      <c r="AR47" s="58"/>
      <c r="AS47" s="58"/>
      <c r="AT47" s="56"/>
      <c r="AU47" s="57"/>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row>
    <row r="48" spans="1:79" ht="45.75" customHeight="1" x14ac:dyDescent="0.3">
      <c r="A48" s="266"/>
      <c r="B48" s="269"/>
      <c r="C48" s="269"/>
      <c r="D48" s="272"/>
      <c r="E48" s="272"/>
      <c r="F48" s="272"/>
      <c r="G48" s="275"/>
      <c r="H48" s="272"/>
      <c r="I48" s="272"/>
      <c r="J48" s="272"/>
      <c r="K48" s="266"/>
      <c r="L48" s="282"/>
      <c r="M48" s="285"/>
      <c r="N48" s="291"/>
      <c r="O48" s="285">
        <f ca="1">IF(NOT(ISERROR(MATCH(N48,_xlfn.ANCHORARRAY(G59),0))),M61&amp;"Por favor no seleccionar los criterios de impacto",N48)</f>
        <v>0</v>
      </c>
      <c r="P48" s="282"/>
      <c r="Q48" s="285"/>
      <c r="R48" s="288"/>
      <c r="S48" s="72">
        <v>3</v>
      </c>
      <c r="T48" s="65"/>
      <c r="U48" s="74"/>
      <c r="V48" s="74"/>
      <c r="W48" s="73" t="str">
        <f t="shared" si="7"/>
        <v/>
      </c>
      <c r="X48" s="74"/>
      <c r="Y48" s="74"/>
      <c r="Z48" s="74"/>
      <c r="AA48" s="75" t="str">
        <f>IFERROR(IF(AND(AB47="Probabilidad",AB48="Probabilidad"),(AH47-(+AH47*W48)),IF(AND(AB47="Impacto",AB48="Probabilidad"),(W47-(+W47*W48)),IF(AB48="Impacto",AB47,""))),"")</f>
        <v/>
      </c>
      <c r="AB48" s="68" t="str">
        <f t="shared" si="3"/>
        <v/>
      </c>
      <c r="AC48" s="67"/>
      <c r="AD48" s="67"/>
      <c r="AE48" s="67"/>
      <c r="AF48" s="67"/>
      <c r="AG48" s="77" t="str">
        <f t="shared" si="5"/>
        <v/>
      </c>
      <c r="AH48" s="76" t="str">
        <f t="shared" si="1"/>
        <v/>
      </c>
      <c r="AI48" s="52" t="str">
        <f t="shared" si="4"/>
        <v/>
      </c>
      <c r="AJ48" s="53" t="str">
        <f>IFERROR(IF(AND(AB47="Impacto",AB48="Impacto"),(AJ47-(+AJ47*W48)),IF(AND(AB47="Probabilidad",AB48="Impacto"),(AJ46-(+AJ46*W48)),IF(AB48="Probabilidad",AJ47,""))),"")</f>
        <v/>
      </c>
      <c r="AK48" s="54" t="str">
        <f t="shared" si="8"/>
        <v/>
      </c>
      <c r="AL48" s="55"/>
      <c r="AM48" s="56"/>
      <c r="AN48" s="57"/>
      <c r="AO48" s="69"/>
      <c r="AP48" s="69"/>
      <c r="AQ48" s="69"/>
      <c r="AR48" s="58"/>
      <c r="AS48" s="58"/>
      <c r="AT48" s="56"/>
      <c r="AU48" s="57"/>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row>
    <row r="49" spans="1:79" ht="45.75" customHeight="1" x14ac:dyDescent="0.3">
      <c r="A49" s="266"/>
      <c r="B49" s="269"/>
      <c r="C49" s="269"/>
      <c r="D49" s="272"/>
      <c r="E49" s="272"/>
      <c r="F49" s="272"/>
      <c r="G49" s="275"/>
      <c r="H49" s="272"/>
      <c r="I49" s="272"/>
      <c r="J49" s="272"/>
      <c r="K49" s="266"/>
      <c r="L49" s="282"/>
      <c r="M49" s="285"/>
      <c r="N49" s="291"/>
      <c r="O49" s="285">
        <f ca="1">IF(NOT(ISERROR(MATCH(N49,_xlfn.ANCHORARRAY(G60),0))),M62&amp;"Por favor no seleccionar los criterios de impacto",N49)</f>
        <v>0</v>
      </c>
      <c r="P49" s="282"/>
      <c r="Q49" s="285"/>
      <c r="R49" s="288"/>
      <c r="S49" s="72">
        <v>4</v>
      </c>
      <c r="T49" s="65"/>
      <c r="U49" s="74"/>
      <c r="V49" s="74"/>
      <c r="W49" s="73" t="str">
        <f t="shared" si="7"/>
        <v/>
      </c>
      <c r="X49" s="74"/>
      <c r="Y49" s="74"/>
      <c r="Z49" s="74"/>
      <c r="AA49" s="75" t="str">
        <f>IFERROR(IF(AND(AB48="Probabilidad",AB49="Probabilidad"),(AH48-(+AH48*W49)),IF(AND(AB48="Impacto",AB49="Probabilidad"),(W48-(+W48*W49)),IF(AB49="Impacto",AB48,""))),"")</f>
        <v/>
      </c>
      <c r="AB49" s="68" t="str">
        <f t="shared" si="3"/>
        <v/>
      </c>
      <c r="AC49" s="67"/>
      <c r="AD49" s="67"/>
      <c r="AE49" s="67"/>
      <c r="AF49" s="67"/>
      <c r="AG49" s="77" t="str">
        <f t="shared" si="5"/>
        <v/>
      </c>
      <c r="AH49" s="76" t="str">
        <f t="shared" si="1"/>
        <v/>
      </c>
      <c r="AI49" s="52" t="str">
        <f t="shared" si="4"/>
        <v/>
      </c>
      <c r="AJ49" s="53" t="str">
        <f>IFERROR(IF(AND(AB48="Impacto",AB49="Impacto"),(AJ48-(+AJ48*W49)),IF(AND(AB48="Probabilidad",AB49="Impacto"),(AJ47-(+AJ47*W49)),IF(AB49="Probabilidad",AJ48,""))),"")</f>
        <v/>
      </c>
      <c r="AK49" s="54" t="str">
        <f t="shared" si="8"/>
        <v/>
      </c>
      <c r="AL49" s="55"/>
      <c r="AM49" s="56"/>
      <c r="AN49" s="57"/>
      <c r="AO49" s="69"/>
      <c r="AP49" s="69"/>
      <c r="AQ49" s="69"/>
      <c r="AR49" s="58"/>
      <c r="AS49" s="58"/>
      <c r="AT49" s="56"/>
      <c r="AU49" s="57"/>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row>
    <row r="50" spans="1:79" ht="45.75" customHeight="1" x14ac:dyDescent="0.3">
      <c r="A50" s="266"/>
      <c r="B50" s="269"/>
      <c r="C50" s="269"/>
      <c r="D50" s="272"/>
      <c r="E50" s="272"/>
      <c r="F50" s="272"/>
      <c r="G50" s="275"/>
      <c r="H50" s="272"/>
      <c r="I50" s="272"/>
      <c r="J50" s="272"/>
      <c r="K50" s="266"/>
      <c r="L50" s="282"/>
      <c r="M50" s="285"/>
      <c r="N50" s="291"/>
      <c r="O50" s="285">
        <f ca="1">IF(NOT(ISERROR(MATCH(N50,_xlfn.ANCHORARRAY(G61),0))),M63&amp;"Por favor no seleccionar los criterios de impacto",N50)</f>
        <v>0</v>
      </c>
      <c r="P50" s="282"/>
      <c r="Q50" s="285"/>
      <c r="R50" s="288"/>
      <c r="S50" s="72">
        <v>5</v>
      </c>
      <c r="T50" s="65"/>
      <c r="U50" s="74"/>
      <c r="V50" s="74"/>
      <c r="W50" s="73" t="str">
        <f t="shared" si="7"/>
        <v/>
      </c>
      <c r="X50" s="74"/>
      <c r="Y50" s="74"/>
      <c r="Z50" s="74"/>
      <c r="AA50" s="75" t="str">
        <f>IFERROR(IF(AND(AB49="Probabilidad",AB50="Probabilidad"),(AH49-(+AH49*W50)),IF(AND(AB49="Impacto",AB50="Probabilidad"),(W49-(+W49*W50)),IF(AB50="Impacto",AB49,""))),"")</f>
        <v/>
      </c>
      <c r="AB50" s="68" t="str">
        <f t="shared" si="3"/>
        <v/>
      </c>
      <c r="AC50" s="67"/>
      <c r="AD50" s="67"/>
      <c r="AE50" s="67"/>
      <c r="AF50" s="67"/>
      <c r="AG50" s="77" t="str">
        <f t="shared" si="5"/>
        <v/>
      </c>
      <c r="AH50" s="76" t="str">
        <f t="shared" si="1"/>
        <v/>
      </c>
      <c r="AI50" s="52" t="str">
        <f t="shared" si="4"/>
        <v/>
      </c>
      <c r="AJ50" s="53" t="str">
        <f>IFERROR(IF(AND(AB49="Impacto",AB50="Impacto"),(AJ49-(+AJ49*W50)),IF(AND(AB49="Probabilidad",AB50="Impacto"),(AJ48-(+AJ48*W50)),IF(AB50="Probabilidad",AJ49,""))),"")</f>
        <v/>
      </c>
      <c r="AK50" s="54" t="str">
        <f t="shared" si="8"/>
        <v/>
      </c>
      <c r="AL50" s="55"/>
      <c r="AM50" s="56"/>
      <c r="AN50" s="57"/>
      <c r="AO50" s="69"/>
      <c r="AP50" s="69"/>
      <c r="AQ50" s="69"/>
      <c r="AR50" s="58"/>
      <c r="AS50" s="58"/>
      <c r="AT50" s="56"/>
      <c r="AU50" s="57"/>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row>
    <row r="51" spans="1:79" ht="45.75" customHeight="1" x14ac:dyDescent="0.3">
      <c r="A51" s="267"/>
      <c r="B51" s="270"/>
      <c r="C51" s="270"/>
      <c r="D51" s="273"/>
      <c r="E51" s="273"/>
      <c r="F51" s="273"/>
      <c r="G51" s="276"/>
      <c r="H51" s="273"/>
      <c r="I51" s="273"/>
      <c r="J51" s="273"/>
      <c r="K51" s="267"/>
      <c r="L51" s="283"/>
      <c r="M51" s="286"/>
      <c r="N51" s="292"/>
      <c r="O51" s="286">
        <f ca="1">IF(NOT(ISERROR(MATCH(N51,_xlfn.ANCHORARRAY(G62),0))),M64&amp;"Por favor no seleccionar los criterios de impacto",N51)</f>
        <v>0</v>
      </c>
      <c r="P51" s="283"/>
      <c r="Q51" s="286"/>
      <c r="R51" s="289"/>
      <c r="S51" s="72">
        <v>6</v>
      </c>
      <c r="T51" s="65"/>
      <c r="U51" s="74"/>
      <c r="V51" s="74"/>
      <c r="W51" s="73" t="str">
        <f t="shared" si="7"/>
        <v/>
      </c>
      <c r="X51" s="74"/>
      <c r="Y51" s="74"/>
      <c r="Z51" s="74"/>
      <c r="AA51" s="75" t="str">
        <f>IFERROR(IF(AND(AB50="Probabilidad",AB51="Probabilidad"),(AH50-(+AH50*W51)),IF(AND(AB50="Impacto",AB51="Probabilidad"),(W50-(+W50*W51)),IF(AB51="Impacto",AB50,""))),"")</f>
        <v/>
      </c>
      <c r="AB51" s="68" t="str">
        <f t="shared" si="3"/>
        <v/>
      </c>
      <c r="AC51" s="67"/>
      <c r="AD51" s="67"/>
      <c r="AE51" s="67"/>
      <c r="AF51" s="67"/>
      <c r="AG51" s="77" t="str">
        <f t="shared" si="5"/>
        <v/>
      </c>
      <c r="AH51" s="76" t="str">
        <f t="shared" si="1"/>
        <v/>
      </c>
      <c r="AI51" s="52" t="str">
        <f t="shared" si="4"/>
        <v/>
      </c>
      <c r="AJ51" s="53" t="str">
        <f>IFERROR(IF(AND(AB50="Impacto",AB51="Impacto"),(AJ50-(+AJ50*W51)),IF(AND(AB50="Probabilidad",AB51="Impacto"),(AJ49-(+AJ49*W51)),IF(AB51="Probabilidad",AJ50,""))),"")</f>
        <v/>
      </c>
      <c r="AK51" s="54" t="str">
        <f t="shared" si="8"/>
        <v/>
      </c>
      <c r="AL51" s="55"/>
      <c r="AM51" s="56"/>
      <c r="AN51" s="57"/>
      <c r="AO51" s="69"/>
      <c r="AP51" s="69"/>
      <c r="AQ51" s="69"/>
      <c r="AR51" s="58"/>
      <c r="AS51" s="58"/>
      <c r="AT51" s="56"/>
      <c r="AU51" s="57"/>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row>
    <row r="52" spans="1:79" ht="45.75" customHeight="1" x14ac:dyDescent="0.3">
      <c r="A52" s="265"/>
      <c r="B52" s="268"/>
      <c r="C52" s="268"/>
      <c r="D52" s="271"/>
      <c r="E52" s="271"/>
      <c r="F52" s="271"/>
      <c r="G52" s="274"/>
      <c r="H52" s="271"/>
      <c r="I52" s="271"/>
      <c r="J52" s="271"/>
      <c r="K52" s="265"/>
      <c r="L52" s="281" t="str">
        <f>IF(K52&lt;=0,"",IF(K52&lt;="La actividad que conlleva el riesgo se ejecuta como máximos 2 veces por año","Muy Baja",IF(K52="La actividad que conlleva el riesgo se ejecuta de 3 a 24 veces por año","Baja",IF(K52="La actividad que conlleva el riesgo se ejecuta de 24 a 500 veces por año","Media",IF(K52="La actividad que conlleva el riesgo se ejecuta mínimo 500 veces al año y máximo 5000 veces por año","Alta","Muy Alta")))))</f>
        <v/>
      </c>
      <c r="M52" s="284" t="str">
        <f>IF(L52="","",IF(L52="Muy Baja",0.2,IF(L52="Baja",0.4,IF(L52="Media",0.6,IF(L52="Alta",0.8,IF(L52="Muy Alta",1,))))))</f>
        <v/>
      </c>
      <c r="N52" s="290"/>
      <c r="O52" s="284">
        <f>IF(NOT(ISERROR(MATCH(N52,'[1]Tabla Impacto'!$B$221:$B$223,0))),'[1]Tabla Impacto'!$F$223&amp;"Por favor no seleccionar los criterios de impacto(Afectación Económica o presupuestal y Pérdida Reputacional)",N52)</f>
        <v>0</v>
      </c>
      <c r="P52" s="281" t="str">
        <f>IF(OR(O52='[1]Tabla Impacto'!$C$11,O52='[1]Tabla Impacto'!$D$11),"Leve",IF(OR(O52='[1]Tabla Impacto'!$C$12,O52='[1]Tabla Impacto'!$D$12),"Menor",IF(OR(O52='[1]Tabla Impacto'!$C$13,O52='[1]Tabla Impacto'!$D$13),"Moderado",IF(OR(O52='[1]Tabla Impacto'!$C$14,O52='[1]Tabla Impacto'!$D$14),"Mayor",IF(OR(O52='[1]Tabla Impacto'!$C$15,O52='[1]Tabla Impacto'!$D$15),"Catastrófico","")))))</f>
        <v/>
      </c>
      <c r="Q52" s="284" t="str">
        <f>IF(P52="","",IF(P52="Leve",0.2,IF(P52="Menor",0.4,IF(P52="Moderado",0.6,IF(P52="Mayor",0.8,IF(P52="Catastrófico",1,))))))</f>
        <v/>
      </c>
      <c r="R52" s="287" t="str">
        <f>IF(OR(AND(L52="Muy Baja",P52="Leve"),AND(L52="Muy Baja",P52="Menor"),AND(L52="Baja",P52="Leve")),"Bajo",IF(OR(AND(L52="Muy baja",P52="Moderado"),AND(L52="Baja",P52="Menor"),AND(L52="Baja",P52="Moderado"),AND(L52="Media",P52="Leve"),AND(L52="Media",P52="Menor"),AND(L52="Media",P52="Moderado"),AND(L52="Alta",P52="Leve"),AND(L52="Alta",P52="Menor")),"Moderado",IF(OR(AND(L52="Muy Baja",P52="Mayor"),AND(L52="Baja",P52="Mayor"),AND(L52="Media",P52="Mayor"),AND(L52="Alta",P52="Moderado"),AND(L52="Alta",P52="Mayor"),AND(L52="Muy Alta",P52="Leve"),AND(L52="Muy Alta",P52="Menor"),AND(L52="Muy Alta",P52="Moderado"),AND(L52="Muy Alta",P52="Mayor")),"Alto",IF(OR(AND(L52="Muy Baja",P52="Catastrófico"),AND(L52="Baja",P52="Catastrófico"),AND(L52="Media",P52="Catastrófico"),AND(L52="Alta",P52="Catastrófico"),AND(L52="Muy Alta",P52="Catastrófico")),"Extremo",""))))</f>
        <v/>
      </c>
      <c r="S52" s="72">
        <v>1</v>
      </c>
      <c r="T52" s="65"/>
      <c r="U52" s="51"/>
      <c r="V52" s="51"/>
      <c r="W52" s="73" t="str">
        <f t="shared" si="7"/>
        <v/>
      </c>
      <c r="X52" s="51"/>
      <c r="Y52" s="51"/>
      <c r="Z52" s="51"/>
      <c r="AA52" s="67" t="str">
        <f>IFERROR(IF(AB52="Probabilidad",(M52-(+M52*W52)),IF(AB52="Impacto",M52,"")),"")</f>
        <v/>
      </c>
      <c r="AB52" s="68" t="str">
        <f t="shared" si="3"/>
        <v/>
      </c>
      <c r="AC52" s="67"/>
      <c r="AD52" s="67"/>
      <c r="AE52" s="67"/>
      <c r="AF52" s="67"/>
      <c r="AG52" s="77" t="str">
        <f t="shared" si="5"/>
        <v/>
      </c>
      <c r="AH52" s="76" t="str">
        <f t="shared" si="1"/>
        <v/>
      </c>
      <c r="AI52" s="52" t="str">
        <f t="shared" si="4"/>
        <v/>
      </c>
      <c r="AJ52" s="53" t="str">
        <f>IFERROR(IF(AB52="Impacto",(Q52-(+Q52*W52)),IF(AB52="Probabilidad",Q52,"")),"")</f>
        <v/>
      </c>
      <c r="AK52" s="54" t="str">
        <f t="shared" si="8"/>
        <v/>
      </c>
      <c r="AL52" s="55"/>
      <c r="AM52" s="56"/>
      <c r="AN52" s="57"/>
      <c r="AO52" s="69"/>
      <c r="AP52" s="69"/>
      <c r="AQ52" s="69"/>
      <c r="AR52" s="58"/>
      <c r="AS52" s="58"/>
      <c r="AT52" s="56"/>
      <c r="AU52" s="57"/>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row>
    <row r="53" spans="1:79" ht="45.75" customHeight="1" x14ac:dyDescent="0.3">
      <c r="A53" s="266"/>
      <c r="B53" s="269"/>
      <c r="C53" s="269"/>
      <c r="D53" s="272"/>
      <c r="E53" s="272"/>
      <c r="F53" s="272"/>
      <c r="G53" s="275"/>
      <c r="H53" s="272"/>
      <c r="I53" s="272"/>
      <c r="J53" s="272"/>
      <c r="K53" s="266"/>
      <c r="L53" s="282"/>
      <c r="M53" s="285"/>
      <c r="N53" s="291"/>
      <c r="O53" s="285">
        <f ca="1">IF(NOT(ISERROR(MATCH(N53,_xlfn.ANCHORARRAY(G64),0))),M66&amp;"Por favor no seleccionar los criterios de impacto",N53)</f>
        <v>0</v>
      </c>
      <c r="P53" s="282"/>
      <c r="Q53" s="285"/>
      <c r="R53" s="288"/>
      <c r="S53" s="72">
        <v>2</v>
      </c>
      <c r="T53" s="65"/>
      <c r="U53" s="74"/>
      <c r="V53" s="74"/>
      <c r="W53" s="73" t="str">
        <f t="shared" si="7"/>
        <v/>
      </c>
      <c r="X53" s="74"/>
      <c r="Y53" s="74"/>
      <c r="Z53" s="74"/>
      <c r="AA53" s="75" t="str">
        <f>IFERROR(IF(AND(AB52="Probabilidad",AB53="Probabilidad"),(AH52-(+AH52*W53)),IF(AB53="Probabilidad",(M52-(+M52*W53)),IF(AB53="Impacto",AH52,""))),"")</f>
        <v/>
      </c>
      <c r="AB53" s="68" t="str">
        <f t="shared" si="3"/>
        <v/>
      </c>
      <c r="AC53" s="67"/>
      <c r="AD53" s="67"/>
      <c r="AE53" s="67"/>
      <c r="AF53" s="67"/>
      <c r="AG53" s="77" t="str">
        <f t="shared" si="5"/>
        <v/>
      </c>
      <c r="AH53" s="76" t="str">
        <f t="shared" si="1"/>
        <v/>
      </c>
      <c r="AI53" s="52" t="str">
        <f t="shared" si="4"/>
        <v/>
      </c>
      <c r="AJ53" s="53" t="str">
        <f>IFERROR(IF(AND(AB52="Impacto",AB53="Impacto"),(AJ52-(+AJ52*W53)),IF(AB53="Impacto",($Q$10-(+$Q$10*AB53)),IF(AB53="Probabilidad",AJ52,""))),"")</f>
        <v/>
      </c>
      <c r="AK53" s="54" t="str">
        <f t="shared" si="8"/>
        <v/>
      </c>
      <c r="AL53" s="55"/>
      <c r="AM53" s="56"/>
      <c r="AN53" s="57"/>
      <c r="AO53" s="69"/>
      <c r="AP53" s="69"/>
      <c r="AQ53" s="69"/>
      <c r="AR53" s="58"/>
      <c r="AS53" s="58"/>
      <c r="AT53" s="56"/>
      <c r="AU53" s="57"/>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row>
    <row r="54" spans="1:79" ht="45.75" customHeight="1" x14ac:dyDescent="0.3">
      <c r="A54" s="266"/>
      <c r="B54" s="269"/>
      <c r="C54" s="269"/>
      <c r="D54" s="272"/>
      <c r="E54" s="272"/>
      <c r="F54" s="272"/>
      <c r="G54" s="275"/>
      <c r="H54" s="272"/>
      <c r="I54" s="272"/>
      <c r="J54" s="272"/>
      <c r="K54" s="266"/>
      <c r="L54" s="282"/>
      <c r="M54" s="285"/>
      <c r="N54" s="291"/>
      <c r="O54" s="285">
        <f ca="1">IF(NOT(ISERROR(MATCH(N54,_xlfn.ANCHORARRAY(G65),0))),M67&amp;"Por favor no seleccionar los criterios de impacto",N54)</f>
        <v>0</v>
      </c>
      <c r="P54" s="282"/>
      <c r="Q54" s="285"/>
      <c r="R54" s="288"/>
      <c r="S54" s="72">
        <v>3</v>
      </c>
      <c r="T54" s="65"/>
      <c r="U54" s="74"/>
      <c r="V54" s="74"/>
      <c r="W54" s="73" t="str">
        <f t="shared" si="7"/>
        <v/>
      </c>
      <c r="X54" s="74"/>
      <c r="Y54" s="74"/>
      <c r="Z54" s="74"/>
      <c r="AA54" s="75" t="str">
        <f>IFERROR(IF(AND(AB53="Probabilidad",AB54="Probabilidad"),(AH53-(+AH53*W54)),IF(AND(AB53="Impacto",AB54="Probabilidad"),(W53-(+W53*W54)),IF(AB54="Impacto",AB53,""))),"")</f>
        <v/>
      </c>
      <c r="AB54" s="68" t="str">
        <f t="shared" si="3"/>
        <v/>
      </c>
      <c r="AC54" s="67"/>
      <c r="AD54" s="67"/>
      <c r="AE54" s="67"/>
      <c r="AF54" s="67"/>
      <c r="AG54" s="77" t="str">
        <f t="shared" si="5"/>
        <v/>
      </c>
      <c r="AH54" s="76" t="str">
        <f t="shared" si="1"/>
        <v/>
      </c>
      <c r="AI54" s="52" t="str">
        <f t="shared" si="4"/>
        <v/>
      </c>
      <c r="AJ54" s="53" t="str">
        <f>IFERROR(IF(AND(AB53="Impacto",AB54="Impacto"),(AJ53-(+AJ53*W54)),IF(AND(AB53="Probabilidad",AB54="Impacto"),(AJ52-(+AJ52*W54)),IF(AB54="Probabilidad",AJ53,""))),"")</f>
        <v/>
      </c>
      <c r="AK54" s="54" t="str">
        <f t="shared" si="8"/>
        <v/>
      </c>
      <c r="AL54" s="55"/>
      <c r="AM54" s="56"/>
      <c r="AN54" s="57"/>
      <c r="AO54" s="69"/>
      <c r="AP54" s="69"/>
      <c r="AQ54" s="69"/>
      <c r="AR54" s="58"/>
      <c r="AS54" s="58"/>
      <c r="AT54" s="56"/>
      <c r="AU54" s="57"/>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row>
    <row r="55" spans="1:79" ht="45.75" customHeight="1" x14ac:dyDescent="0.3">
      <c r="A55" s="266"/>
      <c r="B55" s="269"/>
      <c r="C55" s="269"/>
      <c r="D55" s="272"/>
      <c r="E55" s="272"/>
      <c r="F55" s="272"/>
      <c r="G55" s="275"/>
      <c r="H55" s="272"/>
      <c r="I55" s="272"/>
      <c r="J55" s="272"/>
      <c r="K55" s="266"/>
      <c r="L55" s="282"/>
      <c r="M55" s="285"/>
      <c r="N55" s="291"/>
      <c r="O55" s="285">
        <f ca="1">IF(NOT(ISERROR(MATCH(N55,_xlfn.ANCHORARRAY(G66),0))),M68&amp;"Por favor no seleccionar los criterios de impacto",N55)</f>
        <v>0</v>
      </c>
      <c r="P55" s="282"/>
      <c r="Q55" s="285"/>
      <c r="R55" s="288"/>
      <c r="S55" s="72">
        <v>4</v>
      </c>
      <c r="T55" s="65"/>
      <c r="U55" s="74"/>
      <c r="V55" s="74"/>
      <c r="W55" s="73" t="str">
        <f t="shared" si="7"/>
        <v/>
      </c>
      <c r="X55" s="74"/>
      <c r="Y55" s="74"/>
      <c r="Z55" s="74"/>
      <c r="AA55" s="75" t="str">
        <f>IFERROR(IF(AND(AB54="Probabilidad",AB55="Probabilidad"),(AH54-(+AH54*W55)),IF(AND(AB54="Impacto",AB55="Probabilidad"),(W54-(+W54*W55)),IF(AB55="Impacto",AB54,""))),"")</f>
        <v/>
      </c>
      <c r="AB55" s="68" t="str">
        <f t="shared" si="3"/>
        <v/>
      </c>
      <c r="AC55" s="67"/>
      <c r="AD55" s="67"/>
      <c r="AE55" s="67"/>
      <c r="AF55" s="67"/>
      <c r="AG55" s="77" t="str">
        <f t="shared" si="5"/>
        <v/>
      </c>
      <c r="AH55" s="76" t="str">
        <f t="shared" si="1"/>
        <v/>
      </c>
      <c r="AI55" s="52" t="str">
        <f t="shared" si="4"/>
        <v/>
      </c>
      <c r="AJ55" s="53" t="str">
        <f>IFERROR(IF(AND(AB54="Impacto",AB55="Impacto"),(AJ54-(+AJ54*W55)),IF(AND(AB54="Probabilidad",AB55="Impacto"),(AJ53-(+AJ53*W55)),IF(AB55="Probabilidad",AJ54,""))),"")</f>
        <v/>
      </c>
      <c r="AK55" s="54" t="str">
        <f t="shared" si="8"/>
        <v/>
      </c>
      <c r="AL55" s="55"/>
      <c r="AM55" s="56"/>
      <c r="AN55" s="57"/>
      <c r="AO55" s="69"/>
      <c r="AP55" s="69"/>
      <c r="AQ55" s="69"/>
      <c r="AR55" s="58"/>
      <c r="AS55" s="58"/>
      <c r="AT55" s="56"/>
      <c r="AU55" s="57"/>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row>
    <row r="56" spans="1:79" ht="45.75" customHeight="1" x14ac:dyDescent="0.3">
      <c r="A56" s="266"/>
      <c r="B56" s="269"/>
      <c r="C56" s="269"/>
      <c r="D56" s="272"/>
      <c r="E56" s="272"/>
      <c r="F56" s="272"/>
      <c r="G56" s="275"/>
      <c r="H56" s="272"/>
      <c r="I56" s="272"/>
      <c r="J56" s="272"/>
      <c r="K56" s="266"/>
      <c r="L56" s="282"/>
      <c r="M56" s="285"/>
      <c r="N56" s="291"/>
      <c r="O56" s="285">
        <f ca="1">IF(NOT(ISERROR(MATCH(N56,_xlfn.ANCHORARRAY(G67),0))),M69&amp;"Por favor no seleccionar los criterios de impacto",N56)</f>
        <v>0</v>
      </c>
      <c r="P56" s="282"/>
      <c r="Q56" s="285"/>
      <c r="R56" s="288"/>
      <c r="S56" s="72">
        <v>5</v>
      </c>
      <c r="T56" s="65"/>
      <c r="U56" s="74"/>
      <c r="V56" s="74"/>
      <c r="W56" s="73" t="str">
        <f t="shared" si="7"/>
        <v/>
      </c>
      <c r="X56" s="74"/>
      <c r="Y56" s="74"/>
      <c r="Z56" s="74"/>
      <c r="AA56" s="75" t="str">
        <f>IFERROR(IF(AND(AB55="Probabilidad",AB56="Probabilidad"),(AH55-(+AH55*W56)),IF(AND(AB55="Impacto",AB56="Probabilidad"),(W55-(+W55*W56)),IF(AB56="Impacto",AB55,""))),"")</f>
        <v/>
      </c>
      <c r="AB56" s="68" t="str">
        <f t="shared" si="3"/>
        <v/>
      </c>
      <c r="AC56" s="67"/>
      <c r="AD56" s="67"/>
      <c r="AE56" s="67"/>
      <c r="AF56" s="67"/>
      <c r="AG56" s="77" t="str">
        <f t="shared" si="5"/>
        <v/>
      </c>
      <c r="AH56" s="76" t="str">
        <f t="shared" si="1"/>
        <v/>
      </c>
      <c r="AI56" s="52" t="str">
        <f t="shared" si="4"/>
        <v/>
      </c>
      <c r="AJ56" s="53" t="str">
        <f>IFERROR(IF(AND(AB55="Impacto",AB56="Impacto"),(AJ55-(+AJ55*W56)),IF(AND(AB55="Probabilidad",AB56="Impacto"),(AJ54-(+AJ54*W56)),IF(AB56="Probabilidad",AJ55,""))),"")</f>
        <v/>
      </c>
      <c r="AK56" s="54" t="str">
        <f t="shared" si="8"/>
        <v/>
      </c>
      <c r="AL56" s="55"/>
      <c r="AM56" s="56"/>
      <c r="AN56" s="57"/>
      <c r="AO56" s="69"/>
      <c r="AP56" s="69"/>
      <c r="AQ56" s="69"/>
      <c r="AR56" s="58"/>
      <c r="AS56" s="58"/>
      <c r="AT56" s="56"/>
      <c r="AU56" s="57"/>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row>
    <row r="57" spans="1:79" ht="45.75" customHeight="1" x14ac:dyDescent="0.3">
      <c r="A57" s="267"/>
      <c r="B57" s="270"/>
      <c r="C57" s="270"/>
      <c r="D57" s="273"/>
      <c r="E57" s="273"/>
      <c r="F57" s="273"/>
      <c r="G57" s="276"/>
      <c r="H57" s="273"/>
      <c r="I57" s="273"/>
      <c r="J57" s="273"/>
      <c r="K57" s="267"/>
      <c r="L57" s="283"/>
      <c r="M57" s="286"/>
      <c r="N57" s="292"/>
      <c r="O57" s="286">
        <f ca="1">IF(NOT(ISERROR(MATCH(N57,_xlfn.ANCHORARRAY(G68),0))),M70&amp;"Por favor no seleccionar los criterios de impacto",N57)</f>
        <v>0</v>
      </c>
      <c r="P57" s="283"/>
      <c r="Q57" s="286"/>
      <c r="R57" s="289"/>
      <c r="S57" s="72">
        <v>6</v>
      </c>
      <c r="T57" s="65"/>
      <c r="U57" s="74"/>
      <c r="V57" s="74"/>
      <c r="W57" s="73" t="str">
        <f t="shared" si="7"/>
        <v/>
      </c>
      <c r="X57" s="74"/>
      <c r="Y57" s="74"/>
      <c r="Z57" s="74"/>
      <c r="AA57" s="75" t="str">
        <f>IFERROR(IF(AND(AB56="Probabilidad",AB57="Probabilidad"),(AH56-(+AH56*W57)),IF(AND(AB56="Impacto",AB57="Probabilidad"),(W56-(+W56*W57)),IF(AB57="Impacto",AB56,""))),"")</f>
        <v/>
      </c>
      <c r="AB57" s="68" t="str">
        <f t="shared" si="3"/>
        <v/>
      </c>
      <c r="AC57" s="67"/>
      <c r="AD57" s="67"/>
      <c r="AE57" s="67"/>
      <c r="AF57" s="67"/>
      <c r="AG57" s="77" t="str">
        <f t="shared" si="5"/>
        <v/>
      </c>
      <c r="AH57" s="76" t="str">
        <f t="shared" si="1"/>
        <v/>
      </c>
      <c r="AI57" s="52" t="str">
        <f t="shared" si="4"/>
        <v/>
      </c>
      <c r="AJ57" s="53" t="str">
        <f>IFERROR(IF(AND(AB56="Impacto",AB57="Impacto"),(AJ56-(+AJ56*W57)),IF(AND(AB56="Probabilidad",AB57="Impacto"),(AJ55-(+AJ55*W57)),IF(AB57="Probabilidad",AJ56,""))),"")</f>
        <v/>
      </c>
      <c r="AK57" s="54" t="str">
        <f t="shared" si="8"/>
        <v/>
      </c>
      <c r="AL57" s="55"/>
      <c r="AM57" s="56"/>
      <c r="AN57" s="57"/>
      <c r="AO57" s="69"/>
      <c r="AP57" s="69"/>
      <c r="AQ57" s="69"/>
      <c r="AR57" s="58"/>
      <c r="AS57" s="58"/>
      <c r="AT57" s="56"/>
      <c r="AU57" s="57"/>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row>
    <row r="58" spans="1:79" ht="45.75" customHeight="1" x14ac:dyDescent="0.3">
      <c r="A58" s="265"/>
      <c r="B58" s="268"/>
      <c r="C58" s="268"/>
      <c r="D58" s="271"/>
      <c r="E58" s="271"/>
      <c r="F58" s="271"/>
      <c r="G58" s="274"/>
      <c r="H58" s="271"/>
      <c r="I58" s="271"/>
      <c r="J58" s="271"/>
      <c r="K58" s="265"/>
      <c r="L58" s="281" t="str">
        <f>IF(K58&lt;=0,"",IF(K58&lt;="La actividad que conlleva el riesgo se ejecuta como máximos 2 veces por año","Muy Baja",IF(K58="La actividad que conlleva el riesgo se ejecuta de 3 a 24 veces por año","Baja",IF(K58="La actividad que conlleva el riesgo se ejecuta de 24 a 500 veces por año","Media",IF(K58="La actividad que conlleva el riesgo se ejecuta mínimo 500 veces al año y máximo 5000 veces por año","Alta","Muy Alta")))))</f>
        <v/>
      </c>
      <c r="M58" s="284" t="str">
        <f>IF(L58="","",IF(L58="Muy Baja",0.2,IF(L58="Baja",0.4,IF(L58="Media",0.6,IF(L58="Alta",0.8,IF(L58="Muy Alta",1,))))))</f>
        <v/>
      </c>
      <c r="N58" s="290"/>
      <c r="O58" s="284">
        <f>IF(NOT(ISERROR(MATCH(N58,'[1]Tabla Impacto'!$B$221:$B$223,0))),'[1]Tabla Impacto'!$F$223&amp;"Por favor no seleccionar los criterios de impacto(Afectación Económica o presupuestal y Pérdida Reputacional)",N58)</f>
        <v>0</v>
      </c>
      <c r="P58" s="281" t="str">
        <f>IF(OR(O58='[1]Tabla Impacto'!$C$11,O58='[1]Tabla Impacto'!$D$11),"Leve",IF(OR(O58='[1]Tabla Impacto'!$C$12,O58='[1]Tabla Impacto'!$D$12),"Menor",IF(OR(O58='[1]Tabla Impacto'!$C$13,O58='[1]Tabla Impacto'!$D$13),"Moderado",IF(OR(O58='[1]Tabla Impacto'!$C$14,O58='[1]Tabla Impacto'!$D$14),"Mayor",IF(OR(O58='[1]Tabla Impacto'!$C$15,O58='[1]Tabla Impacto'!$D$15),"Catastrófico","")))))</f>
        <v/>
      </c>
      <c r="Q58" s="284" t="str">
        <f>IF(P58="","",IF(P58="Leve",0.2,IF(P58="Menor",0.4,IF(P58="Moderado",0.6,IF(P58="Mayor",0.8,IF(P58="Catastrófico",1,))))))</f>
        <v/>
      </c>
      <c r="R58" s="287" t="str">
        <f>IF(OR(AND(L58="Muy Baja",P58="Leve"),AND(L58="Muy Baja",P58="Menor"),AND(L58="Baja",P58="Leve")),"Bajo",IF(OR(AND(L58="Muy baja",P58="Moderado"),AND(L58="Baja",P58="Menor"),AND(L58="Baja",P58="Moderado"),AND(L58="Media",P58="Leve"),AND(L58="Media",P58="Menor"),AND(L58="Media",P58="Moderado"),AND(L58="Alta",P58="Leve"),AND(L58="Alta",P58="Menor")),"Moderado",IF(OR(AND(L58="Muy Baja",P58="Mayor"),AND(L58="Baja",P58="Mayor"),AND(L58="Media",P58="Mayor"),AND(L58="Alta",P58="Moderado"),AND(L58="Alta",P58="Mayor"),AND(L58="Muy Alta",P58="Leve"),AND(L58="Muy Alta",P58="Menor"),AND(L58="Muy Alta",P58="Moderado"),AND(L58="Muy Alta",P58="Mayor")),"Alto",IF(OR(AND(L58="Muy Baja",P58="Catastrófico"),AND(L58="Baja",P58="Catastrófico"),AND(L58="Media",P58="Catastrófico"),AND(L58="Alta",P58="Catastrófico"),AND(L58="Muy Alta",P58="Catastrófico")),"Extremo",""))))</f>
        <v/>
      </c>
      <c r="S58" s="72">
        <v>1</v>
      </c>
      <c r="T58" s="65"/>
      <c r="U58" s="51"/>
      <c r="V58" s="51"/>
      <c r="W58" s="73" t="str">
        <f t="shared" si="7"/>
        <v/>
      </c>
      <c r="X58" s="51"/>
      <c r="Y58" s="51"/>
      <c r="Z58" s="51"/>
      <c r="AA58" s="67" t="str">
        <f>IFERROR(IF(AB58="Probabilidad",(M58-(+M58*W58)),IF(AB58="Impacto",M58,"")),"")</f>
        <v/>
      </c>
      <c r="AB58" s="68" t="str">
        <f t="shared" si="3"/>
        <v/>
      </c>
      <c r="AC58" s="67"/>
      <c r="AD58" s="67"/>
      <c r="AE58" s="67"/>
      <c r="AF58" s="67"/>
      <c r="AG58" s="77" t="str">
        <f t="shared" si="5"/>
        <v/>
      </c>
      <c r="AH58" s="76" t="str">
        <f t="shared" si="1"/>
        <v/>
      </c>
      <c r="AI58" s="52" t="str">
        <f t="shared" si="4"/>
        <v/>
      </c>
      <c r="AJ58" s="53" t="str">
        <f>IFERROR(IF(AB58="Impacto",(Q58-(+Q58*W58)),IF(AB58="Probabilidad",Q58,"")),"")</f>
        <v/>
      </c>
      <c r="AK58" s="54" t="str">
        <f t="shared" si="8"/>
        <v/>
      </c>
      <c r="AL58" s="55"/>
      <c r="AM58" s="56"/>
      <c r="AN58" s="57"/>
      <c r="AO58" s="69"/>
      <c r="AP58" s="69"/>
      <c r="AQ58" s="69"/>
      <c r="AR58" s="58"/>
      <c r="AS58" s="58"/>
      <c r="AT58" s="56"/>
      <c r="AU58" s="57"/>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row>
    <row r="59" spans="1:79" ht="45.75" customHeight="1" x14ac:dyDescent="0.3">
      <c r="A59" s="266"/>
      <c r="B59" s="269"/>
      <c r="C59" s="269"/>
      <c r="D59" s="272"/>
      <c r="E59" s="272"/>
      <c r="F59" s="272"/>
      <c r="G59" s="275"/>
      <c r="H59" s="272"/>
      <c r="I59" s="272"/>
      <c r="J59" s="272"/>
      <c r="K59" s="266"/>
      <c r="L59" s="282"/>
      <c r="M59" s="285"/>
      <c r="N59" s="291"/>
      <c r="O59" s="285">
        <f ca="1">IF(NOT(ISERROR(MATCH(N59,_xlfn.ANCHORARRAY(G70),0))),M72&amp;"Por favor no seleccionar los criterios de impacto",N59)</f>
        <v>0</v>
      </c>
      <c r="P59" s="282"/>
      <c r="Q59" s="285"/>
      <c r="R59" s="288"/>
      <c r="S59" s="72">
        <v>2</v>
      </c>
      <c r="T59" s="65"/>
      <c r="U59" s="74"/>
      <c r="V59" s="74"/>
      <c r="W59" s="73" t="str">
        <f t="shared" si="7"/>
        <v/>
      </c>
      <c r="X59" s="74"/>
      <c r="Y59" s="74"/>
      <c r="Z59" s="74"/>
      <c r="AA59" s="75" t="str">
        <f>IFERROR(IF(AND(AB58="Probabilidad",AB59="Probabilidad"),(AH58-(+AH58*W59)),IF(AB59="Probabilidad",(M58-(+M58*W59)),IF(AB59="Impacto",AH58,""))),"")</f>
        <v/>
      </c>
      <c r="AB59" s="68" t="str">
        <f t="shared" si="3"/>
        <v/>
      </c>
      <c r="AC59" s="67"/>
      <c r="AD59" s="67"/>
      <c r="AE59" s="67"/>
      <c r="AF59" s="67"/>
      <c r="AG59" s="77" t="str">
        <f t="shared" si="5"/>
        <v/>
      </c>
      <c r="AH59" s="76" t="str">
        <f t="shared" si="1"/>
        <v/>
      </c>
      <c r="AI59" s="52" t="str">
        <f t="shared" si="4"/>
        <v/>
      </c>
      <c r="AJ59" s="53" t="str">
        <f>IFERROR(IF(AND(AB58="Impacto",AB59="Impacto"),(AJ58-(+AJ58*W59)),IF(AB59="Impacto",($Q$10-(+$Q$10*AB59)),IF(AB59="Probabilidad",AJ58,""))),"")</f>
        <v/>
      </c>
      <c r="AK59" s="54" t="str">
        <f t="shared" si="8"/>
        <v/>
      </c>
      <c r="AL59" s="55"/>
      <c r="AM59" s="56"/>
      <c r="AN59" s="57"/>
      <c r="AO59" s="69"/>
      <c r="AP59" s="69"/>
      <c r="AQ59" s="69"/>
      <c r="AR59" s="58"/>
      <c r="AS59" s="58"/>
      <c r="AT59" s="56"/>
      <c r="AU59" s="57"/>
    </row>
    <row r="60" spans="1:79" ht="45.75" customHeight="1" x14ac:dyDescent="0.3">
      <c r="A60" s="266"/>
      <c r="B60" s="269"/>
      <c r="C60" s="269"/>
      <c r="D60" s="272"/>
      <c r="E60" s="272"/>
      <c r="F60" s="272"/>
      <c r="G60" s="275"/>
      <c r="H60" s="272"/>
      <c r="I60" s="272"/>
      <c r="J60" s="272"/>
      <c r="K60" s="266"/>
      <c r="L60" s="282"/>
      <c r="M60" s="285"/>
      <c r="N60" s="291"/>
      <c r="O60" s="285">
        <f ca="1">IF(NOT(ISERROR(MATCH(N60,_xlfn.ANCHORARRAY(G71),0))),M73&amp;"Por favor no seleccionar los criterios de impacto",N60)</f>
        <v>0</v>
      </c>
      <c r="P60" s="282"/>
      <c r="Q60" s="285"/>
      <c r="R60" s="288"/>
      <c r="S60" s="72">
        <v>3</v>
      </c>
      <c r="T60" s="65"/>
      <c r="U60" s="74"/>
      <c r="V60" s="74"/>
      <c r="W60" s="73" t="str">
        <f t="shared" si="7"/>
        <v/>
      </c>
      <c r="X60" s="74"/>
      <c r="Y60" s="74"/>
      <c r="Z60" s="74"/>
      <c r="AA60" s="75" t="str">
        <f>IFERROR(IF(AND(AB59="Probabilidad",AB60="Probabilidad"),(AH59-(+AH59*W60)),IF(AND(AB59="Impacto",AB60="Probabilidad"),(W59-(+W59*W60)),IF(AB60="Impacto",AB59,""))),"")</f>
        <v/>
      </c>
      <c r="AB60" s="68" t="str">
        <f t="shared" si="3"/>
        <v/>
      </c>
      <c r="AC60" s="67"/>
      <c r="AD60" s="67"/>
      <c r="AE60" s="67"/>
      <c r="AF60" s="67"/>
      <c r="AG60" s="77" t="str">
        <f t="shared" si="5"/>
        <v/>
      </c>
      <c r="AH60" s="76" t="str">
        <f t="shared" si="1"/>
        <v/>
      </c>
      <c r="AI60" s="52" t="str">
        <f t="shared" si="4"/>
        <v/>
      </c>
      <c r="AJ60" s="53" t="str">
        <f>IFERROR(IF(AND(AB59="Impacto",AB60="Impacto"),(AJ59-(+AJ59*W60)),IF(AND(AB59="Probabilidad",AB60="Impacto"),(AJ58-(+AJ58*W60)),IF(AB60="Probabilidad",AJ59,""))),"")</f>
        <v/>
      </c>
      <c r="AK60" s="54" t="str">
        <f t="shared" si="8"/>
        <v/>
      </c>
      <c r="AL60" s="55"/>
      <c r="AM60" s="56"/>
      <c r="AN60" s="57"/>
      <c r="AO60" s="69"/>
      <c r="AP60" s="69"/>
      <c r="AQ60" s="69"/>
      <c r="AR60" s="58"/>
      <c r="AS60" s="58"/>
      <c r="AT60" s="56"/>
      <c r="AU60" s="57"/>
    </row>
    <row r="61" spans="1:79" ht="45.75" customHeight="1" x14ac:dyDescent="0.3">
      <c r="A61" s="266"/>
      <c r="B61" s="269"/>
      <c r="C61" s="269"/>
      <c r="D61" s="272"/>
      <c r="E61" s="272"/>
      <c r="F61" s="272"/>
      <c r="G61" s="275"/>
      <c r="H61" s="272"/>
      <c r="I61" s="272"/>
      <c r="J61" s="272"/>
      <c r="K61" s="266"/>
      <c r="L61" s="282"/>
      <c r="M61" s="285"/>
      <c r="N61" s="291"/>
      <c r="O61" s="285">
        <f ca="1">IF(NOT(ISERROR(MATCH(N61,_xlfn.ANCHORARRAY(G72),0))),M74&amp;"Por favor no seleccionar los criterios de impacto",N61)</f>
        <v>0</v>
      </c>
      <c r="P61" s="282"/>
      <c r="Q61" s="285"/>
      <c r="R61" s="288"/>
      <c r="S61" s="72">
        <v>4</v>
      </c>
      <c r="T61" s="65"/>
      <c r="U61" s="74"/>
      <c r="V61" s="74"/>
      <c r="W61" s="73" t="str">
        <f t="shared" si="7"/>
        <v/>
      </c>
      <c r="X61" s="74"/>
      <c r="Y61" s="74"/>
      <c r="Z61" s="74"/>
      <c r="AA61" s="75" t="str">
        <f>IFERROR(IF(AND(AB60="Probabilidad",AB61="Probabilidad"),(AH60-(+AH60*W61)),IF(AND(AB60="Impacto",AB61="Probabilidad"),(W60-(+W60*W61)),IF(AB61="Impacto",AB60,""))),"")</f>
        <v/>
      </c>
      <c r="AB61" s="68" t="str">
        <f t="shared" si="3"/>
        <v/>
      </c>
      <c r="AC61" s="67"/>
      <c r="AD61" s="67"/>
      <c r="AE61" s="67"/>
      <c r="AF61" s="67"/>
      <c r="AG61" s="77" t="str">
        <f t="shared" si="5"/>
        <v/>
      </c>
      <c r="AH61" s="76" t="str">
        <f t="shared" si="1"/>
        <v/>
      </c>
      <c r="AI61" s="52" t="str">
        <f t="shared" si="4"/>
        <v/>
      </c>
      <c r="AJ61" s="53" t="str">
        <f>IFERROR(IF(AND(AB60="Impacto",AB61="Impacto"),(AJ60-(+AJ60*W61)),IF(AND(AB60="Probabilidad",AB61="Impacto"),(AJ59-(+AJ59*W61)),IF(AB61="Probabilidad",AJ60,""))),"")</f>
        <v/>
      </c>
      <c r="AK61" s="54" t="str">
        <f t="shared" si="8"/>
        <v/>
      </c>
      <c r="AL61" s="55"/>
      <c r="AM61" s="56"/>
      <c r="AN61" s="57"/>
      <c r="AO61" s="69"/>
      <c r="AP61" s="69"/>
      <c r="AQ61" s="69"/>
      <c r="AR61" s="58"/>
      <c r="AS61" s="58"/>
      <c r="AT61" s="56"/>
      <c r="AU61" s="57"/>
    </row>
    <row r="62" spans="1:79" ht="45.75" customHeight="1" x14ac:dyDescent="0.3">
      <c r="A62" s="266"/>
      <c r="B62" s="269"/>
      <c r="C62" s="269"/>
      <c r="D62" s="272"/>
      <c r="E62" s="272"/>
      <c r="F62" s="272"/>
      <c r="G62" s="275"/>
      <c r="H62" s="272"/>
      <c r="I62" s="272"/>
      <c r="J62" s="272"/>
      <c r="K62" s="266"/>
      <c r="L62" s="282"/>
      <c r="M62" s="285"/>
      <c r="N62" s="291"/>
      <c r="O62" s="285">
        <f ca="1">IF(NOT(ISERROR(MATCH(N62,_xlfn.ANCHORARRAY(G73),0))),M75&amp;"Por favor no seleccionar los criterios de impacto",N62)</f>
        <v>0</v>
      </c>
      <c r="P62" s="282"/>
      <c r="Q62" s="285"/>
      <c r="R62" s="288"/>
      <c r="S62" s="72">
        <v>5</v>
      </c>
      <c r="T62" s="65"/>
      <c r="U62" s="74"/>
      <c r="V62" s="74"/>
      <c r="W62" s="73" t="str">
        <f t="shared" si="7"/>
        <v/>
      </c>
      <c r="X62" s="74"/>
      <c r="Y62" s="74"/>
      <c r="Z62" s="74"/>
      <c r="AA62" s="75" t="str">
        <f>IFERROR(IF(AND(AB61="Probabilidad",AB62="Probabilidad"),(AH61-(+AH61*W62)),IF(AND(AB61="Impacto",AB62="Probabilidad"),(W61-(+W61*W62)),IF(AB62="Impacto",AB61,""))),"")</f>
        <v/>
      </c>
      <c r="AB62" s="68" t="str">
        <f t="shared" si="3"/>
        <v/>
      </c>
      <c r="AC62" s="67"/>
      <c r="AD62" s="67"/>
      <c r="AE62" s="67"/>
      <c r="AF62" s="67"/>
      <c r="AG62" s="77" t="str">
        <f t="shared" si="5"/>
        <v/>
      </c>
      <c r="AH62" s="76" t="str">
        <f t="shared" si="1"/>
        <v/>
      </c>
      <c r="AI62" s="52" t="str">
        <f t="shared" si="4"/>
        <v/>
      </c>
      <c r="AJ62" s="53" t="str">
        <f>IFERROR(IF(AND(AB61="Impacto",AB62="Impacto"),(AJ61-(+AJ61*W62)),IF(AND(AB61="Probabilidad",AB62="Impacto"),(AJ60-(+AJ60*W62)),IF(AB62="Probabilidad",AJ61,""))),"")</f>
        <v/>
      </c>
      <c r="AK62" s="54" t="str">
        <f t="shared" si="8"/>
        <v/>
      </c>
      <c r="AL62" s="55"/>
      <c r="AM62" s="56"/>
      <c r="AN62" s="57"/>
      <c r="AO62" s="69"/>
      <c r="AP62" s="69"/>
      <c r="AQ62" s="69"/>
      <c r="AR62" s="58"/>
      <c r="AS62" s="58"/>
      <c r="AT62" s="56"/>
      <c r="AU62" s="57"/>
    </row>
    <row r="63" spans="1:79" ht="45.75" customHeight="1" x14ac:dyDescent="0.3">
      <c r="A63" s="267"/>
      <c r="B63" s="270"/>
      <c r="C63" s="270"/>
      <c r="D63" s="273"/>
      <c r="E63" s="273"/>
      <c r="F63" s="273"/>
      <c r="G63" s="276"/>
      <c r="H63" s="273"/>
      <c r="I63" s="273"/>
      <c r="J63" s="273"/>
      <c r="K63" s="267"/>
      <c r="L63" s="283"/>
      <c r="M63" s="286"/>
      <c r="N63" s="292"/>
      <c r="O63" s="286">
        <f ca="1">IF(NOT(ISERROR(MATCH(N63,_xlfn.ANCHORARRAY(G74),0))),M76&amp;"Por favor no seleccionar los criterios de impacto",N63)</f>
        <v>0</v>
      </c>
      <c r="P63" s="283"/>
      <c r="Q63" s="286"/>
      <c r="R63" s="289"/>
      <c r="S63" s="72">
        <v>6</v>
      </c>
      <c r="T63" s="65"/>
      <c r="U63" s="74"/>
      <c r="V63" s="74"/>
      <c r="W63" s="73" t="str">
        <f t="shared" si="7"/>
        <v/>
      </c>
      <c r="X63" s="74"/>
      <c r="Y63" s="74"/>
      <c r="Z63" s="74"/>
      <c r="AA63" s="75" t="str">
        <f>IFERROR(IF(AND(AB62="Probabilidad",AB63="Probabilidad"),(AH62-(+AH62*W63)),IF(AND(AB62="Impacto",AB63="Probabilidad"),(W62-(+W62*W63)),IF(AB63="Impacto",AB62,""))),"")</f>
        <v/>
      </c>
      <c r="AB63" s="68" t="str">
        <f t="shared" si="3"/>
        <v/>
      </c>
      <c r="AC63" s="67"/>
      <c r="AD63" s="67"/>
      <c r="AE63" s="67"/>
      <c r="AF63" s="67"/>
      <c r="AG63" s="77" t="str">
        <f t="shared" si="5"/>
        <v/>
      </c>
      <c r="AH63" s="76" t="str">
        <f t="shared" si="1"/>
        <v/>
      </c>
      <c r="AI63" s="52" t="str">
        <f t="shared" si="4"/>
        <v/>
      </c>
      <c r="AJ63" s="53" t="str">
        <f>IFERROR(IF(AND(AB62="Impacto",AB63="Impacto"),(AJ62-(+AJ62*W63)),IF(AND(AB62="Probabilidad",AB63="Impacto"),(AJ61-(+AJ61*W63)),IF(AB63="Probabilidad",AJ62,""))),"")</f>
        <v/>
      </c>
      <c r="AK63" s="54" t="str">
        <f t="shared" si="8"/>
        <v/>
      </c>
      <c r="AL63" s="55"/>
      <c r="AM63" s="56"/>
      <c r="AN63" s="57"/>
      <c r="AO63" s="69"/>
      <c r="AP63" s="69"/>
      <c r="AQ63" s="69"/>
      <c r="AR63" s="58"/>
      <c r="AS63" s="58"/>
      <c r="AT63" s="56"/>
      <c r="AU63" s="57"/>
    </row>
    <row r="64" spans="1:79" ht="49.5" customHeight="1" x14ac:dyDescent="0.3">
      <c r="A64" s="5"/>
      <c r="B64" s="78"/>
      <c r="C64" s="78"/>
      <c r="D64" s="293" t="s">
        <v>115</v>
      </c>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5"/>
    </row>
    <row r="66" spans="1:10" x14ac:dyDescent="0.3">
      <c r="A66" s="1"/>
      <c r="B66" s="79"/>
      <c r="C66" s="79"/>
      <c r="D66" s="9" t="s">
        <v>127</v>
      </c>
      <c r="E66" s="1"/>
      <c r="F66" s="1"/>
      <c r="H66" s="1"/>
      <c r="I66" s="1"/>
      <c r="J66" s="1"/>
    </row>
  </sheetData>
  <sheetProtection algorithmName="SHA-512" hashValue="laSmvURR+XwO9tuS7Zb5L14TOZRbIB9pY73DIv3JWF72oKJl0v08/2AVoro44lgRHAW97iq/UCLO/+7P14DL1Q==" saltValue="p+ykCvorhw0dQr9P2/s2vw==" spinCount="100000" sheet="1" objects="1" scenarios="1"/>
  <dataConsolidate/>
  <mergeCells count="222">
    <mergeCell ref="R58:R63"/>
    <mergeCell ref="D64:AU64"/>
    <mergeCell ref="J58:J63"/>
    <mergeCell ref="K58:K63"/>
    <mergeCell ref="L58:L63"/>
    <mergeCell ref="M58:M63"/>
    <mergeCell ref="N58:N63"/>
    <mergeCell ref="O58:O63"/>
    <mergeCell ref="R52:R57"/>
    <mergeCell ref="L52:L57"/>
    <mergeCell ref="M52:M57"/>
    <mergeCell ref="N52:N57"/>
    <mergeCell ref="O52:O57"/>
    <mergeCell ref="P52:P57"/>
    <mergeCell ref="Q52:Q57"/>
    <mergeCell ref="F52:F57"/>
    <mergeCell ref="G52:G57"/>
    <mergeCell ref="H52:H57"/>
    <mergeCell ref="I52:I57"/>
    <mergeCell ref="J52:J57"/>
    <mergeCell ref="K52:K57"/>
    <mergeCell ref="P58:P63"/>
    <mergeCell ref="Q58:Q63"/>
    <mergeCell ref="A58:A63"/>
    <mergeCell ref="B58:B63"/>
    <mergeCell ref="C58:C63"/>
    <mergeCell ref="D58:D63"/>
    <mergeCell ref="E58:E63"/>
    <mergeCell ref="F58:F63"/>
    <mergeCell ref="G58:G63"/>
    <mergeCell ref="H58:H63"/>
    <mergeCell ref="I58:I63"/>
    <mergeCell ref="A52:A57"/>
    <mergeCell ref="B52:B57"/>
    <mergeCell ref="C52:C57"/>
    <mergeCell ref="D52:D57"/>
    <mergeCell ref="E52:E57"/>
    <mergeCell ref="H46:H51"/>
    <mergeCell ref="I46:I51"/>
    <mergeCell ref="J46:J51"/>
    <mergeCell ref="K46:K51"/>
    <mergeCell ref="R40:R45"/>
    <mergeCell ref="A46:A51"/>
    <mergeCell ref="B46:B51"/>
    <mergeCell ref="C46:C51"/>
    <mergeCell ref="D46:D51"/>
    <mergeCell ref="E46:E51"/>
    <mergeCell ref="F46:F51"/>
    <mergeCell ref="G46:G51"/>
    <mergeCell ref="J40:J45"/>
    <mergeCell ref="K40:K45"/>
    <mergeCell ref="L40:L45"/>
    <mergeCell ref="M40:M45"/>
    <mergeCell ref="N40:N45"/>
    <mergeCell ref="O40:O45"/>
    <mergeCell ref="N46:N51"/>
    <mergeCell ref="O46:O51"/>
    <mergeCell ref="P46:P51"/>
    <mergeCell ref="Q46:Q51"/>
    <mergeCell ref="R46:R51"/>
    <mergeCell ref="L46:L51"/>
    <mergeCell ref="M46:M51"/>
    <mergeCell ref="R34:R39"/>
    <mergeCell ref="A40:A45"/>
    <mergeCell ref="B40:B45"/>
    <mergeCell ref="C40:C45"/>
    <mergeCell ref="D40:D45"/>
    <mergeCell ref="E40:E45"/>
    <mergeCell ref="F40:F45"/>
    <mergeCell ref="G40:G45"/>
    <mergeCell ref="H40:H45"/>
    <mergeCell ref="I40:I45"/>
    <mergeCell ref="L34:L39"/>
    <mergeCell ref="M34:M39"/>
    <mergeCell ref="N34:N39"/>
    <mergeCell ref="O34:O39"/>
    <mergeCell ref="P34:P39"/>
    <mergeCell ref="Q34:Q39"/>
    <mergeCell ref="F34:F39"/>
    <mergeCell ref="G34:G39"/>
    <mergeCell ref="H34:H39"/>
    <mergeCell ref="I34:I39"/>
    <mergeCell ref="J34:J39"/>
    <mergeCell ref="K34:K39"/>
    <mergeCell ref="P40:P45"/>
    <mergeCell ref="Q40:Q45"/>
    <mergeCell ref="A34:A39"/>
    <mergeCell ref="B34:B39"/>
    <mergeCell ref="C34:C39"/>
    <mergeCell ref="D34:D39"/>
    <mergeCell ref="E34:E39"/>
    <mergeCell ref="H28:H33"/>
    <mergeCell ref="I28:I33"/>
    <mergeCell ref="J28:J33"/>
    <mergeCell ref="K28:K33"/>
    <mergeCell ref="Q22:Q27"/>
    <mergeCell ref="R22:R27"/>
    <mergeCell ref="A28:A33"/>
    <mergeCell ref="B28:B33"/>
    <mergeCell ref="C28:C33"/>
    <mergeCell ref="D28:D33"/>
    <mergeCell ref="E28:E33"/>
    <mergeCell ref="F28:F33"/>
    <mergeCell ref="G28:G33"/>
    <mergeCell ref="J22:J27"/>
    <mergeCell ref="K22:K27"/>
    <mergeCell ref="L22:L27"/>
    <mergeCell ref="M22:M27"/>
    <mergeCell ref="N22:N27"/>
    <mergeCell ref="O22:O27"/>
    <mergeCell ref="N28:N33"/>
    <mergeCell ref="O28:O33"/>
    <mergeCell ref="P28:P33"/>
    <mergeCell ref="Q28:Q33"/>
    <mergeCell ref="R28:R33"/>
    <mergeCell ref="L28:L33"/>
    <mergeCell ref="M28:M33"/>
    <mergeCell ref="M10:M15"/>
    <mergeCell ref="R16:R21"/>
    <mergeCell ref="A22:A27"/>
    <mergeCell ref="B22:B27"/>
    <mergeCell ref="C22:C27"/>
    <mergeCell ref="D22:D27"/>
    <mergeCell ref="E22:E27"/>
    <mergeCell ref="F22:F27"/>
    <mergeCell ref="G22:G27"/>
    <mergeCell ref="H22:H27"/>
    <mergeCell ref="I22:I27"/>
    <mergeCell ref="L16:L21"/>
    <mergeCell ref="M16:M21"/>
    <mergeCell ref="N16:N21"/>
    <mergeCell ref="O16:O21"/>
    <mergeCell ref="P16:P21"/>
    <mergeCell ref="Q16:Q21"/>
    <mergeCell ref="F16:F21"/>
    <mergeCell ref="G16:G21"/>
    <mergeCell ref="H16:H21"/>
    <mergeCell ref="I16:I21"/>
    <mergeCell ref="J16:J21"/>
    <mergeCell ref="K16:K21"/>
    <mergeCell ref="P22:P27"/>
    <mergeCell ref="A16:A21"/>
    <mergeCell ref="B16:B21"/>
    <mergeCell ref="C16:C21"/>
    <mergeCell ref="D16:D21"/>
    <mergeCell ref="E16:E21"/>
    <mergeCell ref="H10:H15"/>
    <mergeCell ref="I10:I15"/>
    <mergeCell ref="J10:J15"/>
    <mergeCell ref="K10:K15"/>
    <mergeCell ref="R2:R3"/>
    <mergeCell ref="S2:S3"/>
    <mergeCell ref="P4:P9"/>
    <mergeCell ref="Q4:Q9"/>
    <mergeCell ref="R4:R9"/>
    <mergeCell ref="A10:A15"/>
    <mergeCell ref="B10:B15"/>
    <mergeCell ref="C10:C15"/>
    <mergeCell ref="D10:D15"/>
    <mergeCell ref="E10:E15"/>
    <mergeCell ref="F10:F15"/>
    <mergeCell ref="G10:G15"/>
    <mergeCell ref="J4:J9"/>
    <mergeCell ref="K4:K9"/>
    <mergeCell ref="L4:L9"/>
    <mergeCell ref="M4:M9"/>
    <mergeCell ref="N4:N9"/>
    <mergeCell ref="O4:O9"/>
    <mergeCell ref="N10:N15"/>
    <mergeCell ref="O10:O15"/>
    <mergeCell ref="P10:P15"/>
    <mergeCell ref="Q10:Q15"/>
    <mergeCell ref="R10:R15"/>
    <mergeCell ref="L10:L15"/>
    <mergeCell ref="P2:P3"/>
    <mergeCell ref="Q2:Q3"/>
    <mergeCell ref="AU2:AU3"/>
    <mergeCell ref="A4:A9"/>
    <mergeCell ref="B4:B9"/>
    <mergeCell ref="C4:C9"/>
    <mergeCell ref="D4:D9"/>
    <mergeCell ref="E4:E9"/>
    <mergeCell ref="F4:F9"/>
    <mergeCell ref="G4:G9"/>
    <mergeCell ref="H4:H9"/>
    <mergeCell ref="I4:I9"/>
    <mergeCell ref="AO2:AO3"/>
    <mergeCell ref="AP2:AP3"/>
    <mergeCell ref="AQ2:AQ3"/>
    <mergeCell ref="AR2:AR3"/>
    <mergeCell ref="AS2:AS3"/>
    <mergeCell ref="AT2:AT3"/>
    <mergeCell ref="AI2:AI3"/>
    <mergeCell ref="AJ2:AJ3"/>
    <mergeCell ref="AK2:AK3"/>
    <mergeCell ref="AL2:AL3"/>
    <mergeCell ref="AM2:AM3"/>
    <mergeCell ref="AN2:AN3"/>
    <mergeCell ref="AG1:AK1"/>
    <mergeCell ref="AM1:AU1"/>
    <mergeCell ref="A2:A3"/>
    <mergeCell ref="B2:B3"/>
    <mergeCell ref="C2:C3"/>
    <mergeCell ref="D2:D3"/>
    <mergeCell ref="E2:E3"/>
    <mergeCell ref="F2:F3"/>
    <mergeCell ref="G2:G3"/>
    <mergeCell ref="H2:H3"/>
    <mergeCell ref="I2:I3"/>
    <mergeCell ref="J2:J3"/>
    <mergeCell ref="K2:K3"/>
    <mergeCell ref="C1:K1"/>
    <mergeCell ref="L1:R1"/>
    <mergeCell ref="S1:AF1"/>
    <mergeCell ref="T2:T3"/>
    <mergeCell ref="U2:AF2"/>
    <mergeCell ref="AG2:AG3"/>
    <mergeCell ref="AH2:AH3"/>
    <mergeCell ref="L2:L3"/>
    <mergeCell ref="M2:M3"/>
    <mergeCell ref="N2:N3"/>
    <mergeCell ref="O2:O3"/>
  </mergeCells>
  <conditionalFormatting sqref="L4">
    <cfRule type="cellIs" dxfId="353" priority="322" operator="equal">
      <formula>"Muy Alta"</formula>
    </cfRule>
    <cfRule type="cellIs" dxfId="352" priority="323" operator="equal">
      <formula>"Alta"</formula>
    </cfRule>
    <cfRule type="cellIs" dxfId="351" priority="324" operator="equal">
      <formula>"Media"</formula>
    </cfRule>
    <cfRule type="cellIs" dxfId="350" priority="325" operator="equal">
      <formula>"Baja"</formula>
    </cfRule>
    <cfRule type="cellIs" dxfId="349" priority="326" operator="equal">
      <formula>"Muy Baja"</formula>
    </cfRule>
  </conditionalFormatting>
  <conditionalFormatting sqref="P4 P10 P16 P22 P28 P34 P40 P46 P52 P58">
    <cfRule type="cellIs" dxfId="348" priority="317" operator="equal">
      <formula>"Catastrófico"</formula>
    </cfRule>
    <cfRule type="cellIs" dxfId="347" priority="318" operator="equal">
      <formula>"Mayor"</formula>
    </cfRule>
    <cfRule type="cellIs" dxfId="346" priority="319" operator="equal">
      <formula>"Moderado"</formula>
    </cfRule>
    <cfRule type="cellIs" dxfId="345" priority="320" operator="equal">
      <formula>"Menor"</formula>
    </cfRule>
    <cfRule type="cellIs" dxfId="344" priority="321" operator="equal">
      <formula>"Leve"</formula>
    </cfRule>
  </conditionalFormatting>
  <conditionalFormatting sqref="R4">
    <cfRule type="cellIs" dxfId="343" priority="313" operator="equal">
      <formula>"Extremo"</formula>
    </cfRule>
    <cfRule type="cellIs" dxfId="342" priority="314" operator="equal">
      <formula>"Alto"</formula>
    </cfRule>
    <cfRule type="cellIs" dxfId="341" priority="315" operator="equal">
      <formula>"Moderado"</formula>
    </cfRule>
    <cfRule type="cellIs" dxfId="340" priority="316" operator="equal">
      <formula>"Bajo"</formula>
    </cfRule>
  </conditionalFormatting>
  <conditionalFormatting sqref="AG4:AG9">
    <cfRule type="cellIs" dxfId="339" priority="308" operator="equal">
      <formula>"Muy Alta"</formula>
    </cfRule>
    <cfRule type="cellIs" dxfId="338" priority="309" operator="equal">
      <formula>"Alta"</formula>
    </cfRule>
    <cfRule type="cellIs" dxfId="337" priority="310" operator="equal">
      <formula>"Media"</formula>
    </cfRule>
    <cfRule type="cellIs" dxfId="336" priority="311" operator="equal">
      <formula>"Baja"</formula>
    </cfRule>
    <cfRule type="cellIs" dxfId="335" priority="312" operator="equal">
      <formula>"Muy Baja"</formula>
    </cfRule>
  </conditionalFormatting>
  <conditionalFormatting sqref="AI4:AI5 AI7:AI63">
    <cfRule type="cellIs" dxfId="334" priority="303" operator="equal">
      <formula>"Catastrófico"</formula>
    </cfRule>
    <cfRule type="cellIs" dxfId="333" priority="304" operator="equal">
      <formula>"Mayor"</formula>
    </cfRule>
    <cfRule type="cellIs" dxfId="332" priority="305" operator="equal">
      <formula>"Moderado"</formula>
    </cfRule>
    <cfRule type="cellIs" dxfId="331" priority="306" operator="equal">
      <formula>"Menor"</formula>
    </cfRule>
    <cfRule type="cellIs" dxfId="330" priority="307" operator="equal">
      <formula>"Leve"</formula>
    </cfRule>
  </conditionalFormatting>
  <conditionalFormatting sqref="AK4 AK7:AK9">
    <cfRule type="cellIs" dxfId="329" priority="299" operator="equal">
      <formula>"Extremo"</formula>
    </cfRule>
    <cfRule type="cellIs" dxfId="328" priority="300" operator="equal">
      <formula>"Alto"</formula>
    </cfRule>
    <cfRule type="cellIs" dxfId="327" priority="301" operator="equal">
      <formula>"Moderado"</formula>
    </cfRule>
    <cfRule type="cellIs" dxfId="326" priority="302" operator="equal">
      <formula>"Bajo"</formula>
    </cfRule>
  </conditionalFormatting>
  <conditionalFormatting sqref="R10">
    <cfRule type="cellIs" dxfId="325" priority="295" operator="equal">
      <formula>"Extremo"</formula>
    </cfRule>
    <cfRule type="cellIs" dxfId="324" priority="296" operator="equal">
      <formula>"Alto"</formula>
    </cfRule>
    <cfRule type="cellIs" dxfId="323" priority="297" operator="equal">
      <formula>"Moderado"</formula>
    </cfRule>
    <cfRule type="cellIs" dxfId="322" priority="298" operator="equal">
      <formula>"Bajo"</formula>
    </cfRule>
  </conditionalFormatting>
  <conditionalFormatting sqref="R16">
    <cfRule type="cellIs" dxfId="321" priority="291" operator="equal">
      <formula>"Extremo"</formula>
    </cfRule>
    <cfRule type="cellIs" dxfId="320" priority="292" operator="equal">
      <formula>"Alto"</formula>
    </cfRule>
    <cfRule type="cellIs" dxfId="319" priority="293" operator="equal">
      <formula>"Moderado"</formula>
    </cfRule>
    <cfRule type="cellIs" dxfId="318" priority="294" operator="equal">
      <formula>"Bajo"</formula>
    </cfRule>
  </conditionalFormatting>
  <conditionalFormatting sqref="AG16:AG21">
    <cfRule type="cellIs" dxfId="317" priority="286" operator="equal">
      <formula>"Muy Alta"</formula>
    </cfRule>
    <cfRule type="cellIs" dxfId="316" priority="287" operator="equal">
      <formula>"Alta"</formula>
    </cfRule>
    <cfRule type="cellIs" dxfId="315" priority="288" operator="equal">
      <formula>"Media"</formula>
    </cfRule>
    <cfRule type="cellIs" dxfId="314" priority="289" operator="equal">
      <formula>"Baja"</formula>
    </cfRule>
    <cfRule type="cellIs" dxfId="313" priority="290" operator="equal">
      <formula>"Muy Baja"</formula>
    </cfRule>
  </conditionalFormatting>
  <conditionalFormatting sqref="AI16:AI21">
    <cfRule type="cellIs" dxfId="312" priority="281" operator="equal">
      <formula>"Catastrófico"</formula>
    </cfRule>
    <cfRule type="cellIs" dxfId="311" priority="282" operator="equal">
      <formula>"Mayor"</formula>
    </cfRule>
    <cfRule type="cellIs" dxfId="310" priority="283" operator="equal">
      <formula>"Moderado"</formula>
    </cfRule>
    <cfRule type="cellIs" dxfId="309" priority="284" operator="equal">
      <formula>"Menor"</formula>
    </cfRule>
    <cfRule type="cellIs" dxfId="308" priority="285" operator="equal">
      <formula>"Leve"</formula>
    </cfRule>
  </conditionalFormatting>
  <conditionalFormatting sqref="R22">
    <cfRule type="cellIs" dxfId="307" priority="277" operator="equal">
      <formula>"Extremo"</formula>
    </cfRule>
    <cfRule type="cellIs" dxfId="306" priority="278" operator="equal">
      <formula>"Alto"</formula>
    </cfRule>
    <cfRule type="cellIs" dxfId="305" priority="279" operator="equal">
      <formula>"Moderado"</formula>
    </cfRule>
    <cfRule type="cellIs" dxfId="304" priority="280" operator="equal">
      <formula>"Bajo"</formula>
    </cfRule>
  </conditionalFormatting>
  <conditionalFormatting sqref="AG22:AG27">
    <cfRule type="cellIs" dxfId="303" priority="272" operator="equal">
      <formula>"Muy Alta"</formula>
    </cfRule>
    <cfRule type="cellIs" dxfId="302" priority="273" operator="equal">
      <formula>"Alta"</formula>
    </cfRule>
    <cfRule type="cellIs" dxfId="301" priority="274" operator="equal">
      <formula>"Media"</formula>
    </cfRule>
    <cfRule type="cellIs" dxfId="300" priority="275" operator="equal">
      <formula>"Baja"</formula>
    </cfRule>
    <cfRule type="cellIs" dxfId="299" priority="276" operator="equal">
      <formula>"Muy Baja"</formula>
    </cfRule>
  </conditionalFormatting>
  <conditionalFormatting sqref="AI22:AI27">
    <cfRule type="cellIs" dxfId="298" priority="267" operator="equal">
      <formula>"Catastrófico"</formula>
    </cfRule>
    <cfRule type="cellIs" dxfId="297" priority="268" operator="equal">
      <formula>"Mayor"</formula>
    </cfRule>
    <cfRule type="cellIs" dxfId="296" priority="269" operator="equal">
      <formula>"Moderado"</formula>
    </cfRule>
    <cfRule type="cellIs" dxfId="295" priority="270" operator="equal">
      <formula>"Menor"</formula>
    </cfRule>
    <cfRule type="cellIs" dxfId="294" priority="271" operator="equal">
      <formula>"Leve"</formula>
    </cfRule>
  </conditionalFormatting>
  <conditionalFormatting sqref="R28">
    <cfRule type="cellIs" dxfId="293" priority="263" operator="equal">
      <formula>"Extremo"</formula>
    </cfRule>
    <cfRule type="cellIs" dxfId="292" priority="264" operator="equal">
      <formula>"Alto"</formula>
    </cfRule>
    <cfRule type="cellIs" dxfId="291" priority="265" operator="equal">
      <formula>"Moderado"</formula>
    </cfRule>
    <cfRule type="cellIs" dxfId="290" priority="266" operator="equal">
      <formula>"Bajo"</formula>
    </cfRule>
  </conditionalFormatting>
  <conditionalFormatting sqref="AG28:AG33">
    <cfRule type="cellIs" dxfId="289" priority="258" operator="equal">
      <formula>"Muy Alta"</formula>
    </cfRule>
    <cfRule type="cellIs" dxfId="288" priority="259" operator="equal">
      <formula>"Alta"</formula>
    </cfRule>
    <cfRule type="cellIs" dxfId="287" priority="260" operator="equal">
      <formula>"Media"</formula>
    </cfRule>
    <cfRule type="cellIs" dxfId="286" priority="261" operator="equal">
      <formula>"Baja"</formula>
    </cfRule>
    <cfRule type="cellIs" dxfId="285" priority="262" operator="equal">
      <formula>"Muy Baja"</formula>
    </cfRule>
  </conditionalFormatting>
  <conditionalFormatting sqref="AI28:AI33">
    <cfRule type="cellIs" dxfId="284" priority="253" operator="equal">
      <formula>"Catastrófico"</formula>
    </cfRule>
    <cfRule type="cellIs" dxfId="283" priority="254" operator="equal">
      <formula>"Mayor"</formula>
    </cfRule>
    <cfRule type="cellIs" dxfId="282" priority="255" operator="equal">
      <formula>"Moderado"</formula>
    </cfRule>
    <cfRule type="cellIs" dxfId="281" priority="256" operator="equal">
      <formula>"Menor"</formula>
    </cfRule>
    <cfRule type="cellIs" dxfId="280" priority="257" operator="equal">
      <formula>"Leve"</formula>
    </cfRule>
  </conditionalFormatting>
  <conditionalFormatting sqref="R34">
    <cfRule type="cellIs" dxfId="279" priority="249" operator="equal">
      <formula>"Extremo"</formula>
    </cfRule>
    <cfRule type="cellIs" dxfId="278" priority="250" operator="equal">
      <formula>"Alto"</formula>
    </cfRule>
    <cfRule type="cellIs" dxfId="277" priority="251" operator="equal">
      <formula>"Moderado"</formula>
    </cfRule>
    <cfRule type="cellIs" dxfId="276" priority="252" operator="equal">
      <formula>"Bajo"</formula>
    </cfRule>
  </conditionalFormatting>
  <conditionalFormatting sqref="AG34:AG39">
    <cfRule type="cellIs" dxfId="275" priority="244" operator="equal">
      <formula>"Muy Alta"</formula>
    </cfRule>
    <cfRule type="cellIs" dxfId="274" priority="245" operator="equal">
      <formula>"Alta"</formula>
    </cfRule>
    <cfRule type="cellIs" dxfId="273" priority="246" operator="equal">
      <formula>"Media"</formula>
    </cfRule>
    <cfRule type="cellIs" dxfId="272" priority="247" operator="equal">
      <formula>"Baja"</formula>
    </cfRule>
    <cfRule type="cellIs" dxfId="271" priority="248" operator="equal">
      <formula>"Muy Baja"</formula>
    </cfRule>
  </conditionalFormatting>
  <conditionalFormatting sqref="AI34:AI39">
    <cfRule type="cellIs" dxfId="270" priority="239" operator="equal">
      <formula>"Catastrófico"</formula>
    </cfRule>
    <cfRule type="cellIs" dxfId="269" priority="240" operator="equal">
      <formula>"Mayor"</formula>
    </cfRule>
    <cfRule type="cellIs" dxfId="268" priority="241" operator="equal">
      <formula>"Moderado"</formula>
    </cfRule>
    <cfRule type="cellIs" dxfId="267" priority="242" operator="equal">
      <formula>"Menor"</formula>
    </cfRule>
    <cfRule type="cellIs" dxfId="266" priority="243" operator="equal">
      <formula>"Leve"</formula>
    </cfRule>
  </conditionalFormatting>
  <conditionalFormatting sqref="R40">
    <cfRule type="cellIs" dxfId="265" priority="235" operator="equal">
      <formula>"Extremo"</formula>
    </cfRule>
    <cfRule type="cellIs" dxfId="264" priority="236" operator="equal">
      <formula>"Alto"</formula>
    </cfRule>
    <cfRule type="cellIs" dxfId="263" priority="237" operator="equal">
      <formula>"Moderado"</formula>
    </cfRule>
    <cfRule type="cellIs" dxfId="262" priority="238" operator="equal">
      <formula>"Bajo"</formula>
    </cfRule>
  </conditionalFormatting>
  <conditionalFormatting sqref="AG40:AG45">
    <cfRule type="cellIs" dxfId="261" priority="230" operator="equal">
      <formula>"Muy Alta"</formula>
    </cfRule>
    <cfRule type="cellIs" dxfId="260" priority="231" operator="equal">
      <formula>"Alta"</formula>
    </cfRule>
    <cfRule type="cellIs" dxfId="259" priority="232" operator="equal">
      <formula>"Media"</formula>
    </cfRule>
    <cfRule type="cellIs" dxfId="258" priority="233" operator="equal">
      <formula>"Baja"</formula>
    </cfRule>
    <cfRule type="cellIs" dxfId="257" priority="234" operator="equal">
      <formula>"Muy Baja"</formula>
    </cfRule>
  </conditionalFormatting>
  <conditionalFormatting sqref="AI40:AI45">
    <cfRule type="cellIs" dxfId="256" priority="225" operator="equal">
      <formula>"Catastrófico"</formula>
    </cfRule>
    <cfRule type="cellIs" dxfId="255" priority="226" operator="equal">
      <formula>"Mayor"</formula>
    </cfRule>
    <cfRule type="cellIs" dxfId="254" priority="227" operator="equal">
      <formula>"Moderado"</formula>
    </cfRule>
    <cfRule type="cellIs" dxfId="253" priority="228" operator="equal">
      <formula>"Menor"</formula>
    </cfRule>
    <cfRule type="cellIs" dxfId="252" priority="229" operator="equal">
      <formula>"Leve"</formula>
    </cfRule>
  </conditionalFormatting>
  <conditionalFormatting sqref="R46">
    <cfRule type="cellIs" dxfId="251" priority="221" operator="equal">
      <formula>"Extremo"</formula>
    </cfRule>
    <cfRule type="cellIs" dxfId="250" priority="222" operator="equal">
      <formula>"Alto"</formula>
    </cfRule>
    <cfRule type="cellIs" dxfId="249" priority="223" operator="equal">
      <formula>"Moderado"</formula>
    </cfRule>
    <cfRule type="cellIs" dxfId="248" priority="224" operator="equal">
      <formula>"Bajo"</formula>
    </cfRule>
  </conditionalFormatting>
  <conditionalFormatting sqref="AG46:AG51">
    <cfRule type="cellIs" dxfId="247" priority="216" operator="equal">
      <formula>"Muy Alta"</formula>
    </cfRule>
    <cfRule type="cellIs" dxfId="246" priority="217" operator="equal">
      <formula>"Alta"</formula>
    </cfRule>
    <cfRule type="cellIs" dxfId="245" priority="218" operator="equal">
      <formula>"Media"</formula>
    </cfRule>
    <cfRule type="cellIs" dxfId="244" priority="219" operator="equal">
      <formula>"Baja"</formula>
    </cfRule>
    <cfRule type="cellIs" dxfId="243" priority="220" operator="equal">
      <formula>"Muy Baja"</formula>
    </cfRule>
  </conditionalFormatting>
  <conditionalFormatting sqref="AI46:AI51">
    <cfRule type="cellIs" dxfId="242" priority="211" operator="equal">
      <formula>"Catastrófico"</formula>
    </cfRule>
    <cfRule type="cellIs" dxfId="241" priority="212" operator="equal">
      <formula>"Mayor"</formula>
    </cfRule>
    <cfRule type="cellIs" dxfId="240" priority="213" operator="equal">
      <formula>"Moderado"</formula>
    </cfRule>
    <cfRule type="cellIs" dxfId="239" priority="214" operator="equal">
      <formula>"Menor"</formula>
    </cfRule>
    <cfRule type="cellIs" dxfId="238" priority="215" operator="equal">
      <formula>"Leve"</formula>
    </cfRule>
  </conditionalFormatting>
  <conditionalFormatting sqref="R52">
    <cfRule type="cellIs" dxfId="237" priority="207" operator="equal">
      <formula>"Extremo"</formula>
    </cfRule>
    <cfRule type="cellIs" dxfId="236" priority="208" operator="equal">
      <formula>"Alto"</formula>
    </cfRule>
    <cfRule type="cellIs" dxfId="235" priority="209" operator="equal">
      <formula>"Moderado"</formula>
    </cfRule>
    <cfRule type="cellIs" dxfId="234" priority="210" operator="equal">
      <formula>"Bajo"</formula>
    </cfRule>
  </conditionalFormatting>
  <conditionalFormatting sqref="AG52:AG57">
    <cfRule type="cellIs" dxfId="233" priority="202" operator="equal">
      <formula>"Muy Alta"</formula>
    </cfRule>
    <cfRule type="cellIs" dxfId="232" priority="203" operator="equal">
      <formula>"Alta"</formula>
    </cfRule>
    <cfRule type="cellIs" dxfId="231" priority="204" operator="equal">
      <formula>"Media"</formula>
    </cfRule>
    <cfRule type="cellIs" dxfId="230" priority="205" operator="equal">
      <formula>"Baja"</formula>
    </cfRule>
    <cfRule type="cellIs" dxfId="229" priority="206" operator="equal">
      <formula>"Muy Baja"</formula>
    </cfRule>
  </conditionalFormatting>
  <conditionalFormatting sqref="AI52:AI57">
    <cfRule type="cellIs" dxfId="228" priority="197" operator="equal">
      <formula>"Catastrófico"</formula>
    </cfRule>
    <cfRule type="cellIs" dxfId="227" priority="198" operator="equal">
      <formula>"Mayor"</formula>
    </cfRule>
    <cfRule type="cellIs" dxfId="226" priority="199" operator="equal">
      <formula>"Moderado"</formula>
    </cfRule>
    <cfRule type="cellIs" dxfId="225" priority="200" operator="equal">
      <formula>"Menor"</formula>
    </cfRule>
    <cfRule type="cellIs" dxfId="224" priority="201" operator="equal">
      <formula>"Leve"</formula>
    </cfRule>
  </conditionalFormatting>
  <conditionalFormatting sqref="R58">
    <cfRule type="cellIs" dxfId="223" priority="193" operator="equal">
      <formula>"Extremo"</formula>
    </cfRule>
    <cfRule type="cellIs" dxfId="222" priority="194" operator="equal">
      <formula>"Alto"</formula>
    </cfRule>
    <cfRule type="cellIs" dxfId="221" priority="195" operator="equal">
      <formula>"Moderado"</formula>
    </cfRule>
    <cfRule type="cellIs" dxfId="220" priority="196" operator="equal">
      <formula>"Bajo"</formula>
    </cfRule>
  </conditionalFormatting>
  <conditionalFormatting sqref="AG58:AG63">
    <cfRule type="cellIs" dxfId="219" priority="188" operator="equal">
      <formula>"Muy Alta"</formula>
    </cfRule>
    <cfRule type="cellIs" dxfId="218" priority="189" operator="equal">
      <formula>"Alta"</formula>
    </cfRule>
    <cfRule type="cellIs" dxfId="217" priority="190" operator="equal">
      <formula>"Media"</formula>
    </cfRule>
    <cfRule type="cellIs" dxfId="216" priority="191" operator="equal">
      <formula>"Baja"</formula>
    </cfRule>
    <cfRule type="cellIs" dxfId="215" priority="192" operator="equal">
      <formula>"Muy Baja"</formula>
    </cfRule>
  </conditionalFormatting>
  <conditionalFormatting sqref="AI58:AI63">
    <cfRule type="cellIs" dxfId="214" priority="183" operator="equal">
      <formula>"Catastrófico"</formula>
    </cfRule>
    <cfRule type="cellIs" dxfId="213" priority="184" operator="equal">
      <formula>"Mayor"</formula>
    </cfRule>
    <cfRule type="cellIs" dxfId="212" priority="185" operator="equal">
      <formula>"Moderado"</formula>
    </cfRule>
    <cfRule type="cellIs" dxfId="211" priority="186" operator="equal">
      <formula>"Menor"</formula>
    </cfRule>
    <cfRule type="cellIs" dxfId="210" priority="187" operator="equal">
      <formula>"Leve"</formula>
    </cfRule>
  </conditionalFormatting>
  <conditionalFormatting sqref="O4:O63">
    <cfRule type="containsText" dxfId="209" priority="182" operator="containsText" text="❌">
      <formula>NOT(ISERROR(SEARCH("❌",O4)))</formula>
    </cfRule>
  </conditionalFormatting>
  <conditionalFormatting sqref="AK5 AK7:AK9">
    <cfRule type="cellIs" dxfId="208" priority="178" operator="equal">
      <formula>"Extremo"</formula>
    </cfRule>
    <cfRule type="cellIs" dxfId="207" priority="179" operator="equal">
      <formula>"Alto"</formula>
    </cfRule>
    <cfRule type="cellIs" dxfId="206" priority="180" operator="equal">
      <formula>"Moderado"</formula>
    </cfRule>
    <cfRule type="cellIs" dxfId="205" priority="181" operator="equal">
      <formula>"Bajo"</formula>
    </cfRule>
  </conditionalFormatting>
  <conditionalFormatting sqref="L10">
    <cfRule type="cellIs" dxfId="204" priority="173" operator="equal">
      <formula>"Muy Alta"</formula>
    </cfRule>
    <cfRule type="cellIs" dxfId="203" priority="174" operator="equal">
      <formula>"Alta"</formula>
    </cfRule>
    <cfRule type="cellIs" dxfId="202" priority="175" operator="equal">
      <formula>"Media"</formula>
    </cfRule>
    <cfRule type="cellIs" dxfId="201" priority="176" operator="equal">
      <formula>"Baja"</formula>
    </cfRule>
    <cfRule type="cellIs" dxfId="200" priority="177" operator="equal">
      <formula>"Muy Baja"</formula>
    </cfRule>
  </conditionalFormatting>
  <conditionalFormatting sqref="L16">
    <cfRule type="cellIs" dxfId="199" priority="168" operator="equal">
      <formula>"Muy Alta"</formula>
    </cfRule>
    <cfRule type="cellIs" dxfId="198" priority="169" operator="equal">
      <formula>"Alta"</formula>
    </cfRule>
    <cfRule type="cellIs" dxfId="197" priority="170" operator="equal">
      <formula>"Media"</formula>
    </cfRule>
    <cfRule type="cellIs" dxfId="196" priority="171" operator="equal">
      <formula>"Baja"</formula>
    </cfRule>
    <cfRule type="cellIs" dxfId="195" priority="172" operator="equal">
      <formula>"Muy Baja"</formula>
    </cfRule>
  </conditionalFormatting>
  <conditionalFormatting sqref="L22">
    <cfRule type="cellIs" dxfId="194" priority="163" operator="equal">
      <formula>"Muy Alta"</formula>
    </cfRule>
    <cfRule type="cellIs" dxfId="193" priority="164" operator="equal">
      <formula>"Alta"</formula>
    </cfRule>
    <cfRule type="cellIs" dxfId="192" priority="165" operator="equal">
      <formula>"Media"</formula>
    </cfRule>
    <cfRule type="cellIs" dxfId="191" priority="166" operator="equal">
      <formula>"Baja"</formula>
    </cfRule>
    <cfRule type="cellIs" dxfId="190" priority="167" operator="equal">
      <formula>"Muy Baja"</formula>
    </cfRule>
  </conditionalFormatting>
  <conditionalFormatting sqref="L28">
    <cfRule type="cellIs" dxfId="189" priority="158" operator="equal">
      <formula>"Muy Alta"</formula>
    </cfRule>
    <cfRule type="cellIs" dxfId="188" priority="159" operator="equal">
      <formula>"Alta"</formula>
    </cfRule>
    <cfRule type="cellIs" dxfId="187" priority="160" operator="equal">
      <formula>"Media"</formula>
    </cfRule>
    <cfRule type="cellIs" dxfId="186" priority="161" operator="equal">
      <formula>"Baja"</formula>
    </cfRule>
    <cfRule type="cellIs" dxfId="185" priority="162" operator="equal">
      <formula>"Muy Baja"</formula>
    </cfRule>
  </conditionalFormatting>
  <conditionalFormatting sqref="L34">
    <cfRule type="cellIs" dxfId="184" priority="153" operator="equal">
      <formula>"Muy Alta"</formula>
    </cfRule>
    <cfRule type="cellIs" dxfId="183" priority="154" operator="equal">
      <formula>"Alta"</formula>
    </cfRule>
    <cfRule type="cellIs" dxfId="182" priority="155" operator="equal">
      <formula>"Media"</formula>
    </cfRule>
    <cfRule type="cellIs" dxfId="181" priority="156" operator="equal">
      <formula>"Baja"</formula>
    </cfRule>
    <cfRule type="cellIs" dxfId="180" priority="157" operator="equal">
      <formula>"Muy Baja"</formula>
    </cfRule>
  </conditionalFormatting>
  <conditionalFormatting sqref="L40">
    <cfRule type="cellIs" dxfId="179" priority="148" operator="equal">
      <formula>"Muy Alta"</formula>
    </cfRule>
    <cfRule type="cellIs" dxfId="178" priority="149" operator="equal">
      <formula>"Alta"</formula>
    </cfRule>
    <cfRule type="cellIs" dxfId="177" priority="150" operator="equal">
      <formula>"Media"</formula>
    </cfRule>
    <cfRule type="cellIs" dxfId="176" priority="151" operator="equal">
      <formula>"Baja"</formula>
    </cfRule>
    <cfRule type="cellIs" dxfId="175" priority="152" operator="equal">
      <formula>"Muy Baja"</formula>
    </cfRule>
  </conditionalFormatting>
  <conditionalFormatting sqref="L46">
    <cfRule type="cellIs" dxfId="174" priority="143" operator="equal">
      <formula>"Muy Alta"</formula>
    </cfRule>
    <cfRule type="cellIs" dxfId="173" priority="144" operator="equal">
      <formula>"Alta"</formula>
    </cfRule>
    <cfRule type="cellIs" dxfId="172" priority="145" operator="equal">
      <formula>"Media"</formula>
    </cfRule>
    <cfRule type="cellIs" dxfId="171" priority="146" operator="equal">
      <formula>"Baja"</formula>
    </cfRule>
    <cfRule type="cellIs" dxfId="170" priority="147" operator="equal">
      <formula>"Muy Baja"</formula>
    </cfRule>
  </conditionalFormatting>
  <conditionalFormatting sqref="L52">
    <cfRule type="cellIs" dxfId="169" priority="138" operator="equal">
      <formula>"Muy Alta"</formula>
    </cfRule>
    <cfRule type="cellIs" dxfId="168" priority="139" operator="equal">
      <formula>"Alta"</formula>
    </cfRule>
    <cfRule type="cellIs" dxfId="167" priority="140" operator="equal">
      <formula>"Media"</formula>
    </cfRule>
    <cfRule type="cellIs" dxfId="166" priority="141" operator="equal">
      <formula>"Baja"</formula>
    </cfRule>
    <cfRule type="cellIs" dxfId="165" priority="142" operator="equal">
      <formula>"Muy Baja"</formula>
    </cfRule>
  </conditionalFormatting>
  <conditionalFormatting sqref="L58">
    <cfRule type="cellIs" dxfId="164" priority="133" operator="equal">
      <formula>"Muy Alta"</formula>
    </cfRule>
    <cfRule type="cellIs" dxfId="163" priority="134" operator="equal">
      <formula>"Alta"</formula>
    </cfRule>
    <cfRule type="cellIs" dxfId="162" priority="135" operator="equal">
      <formula>"Media"</formula>
    </cfRule>
    <cfRule type="cellIs" dxfId="161" priority="136" operator="equal">
      <formula>"Baja"</formula>
    </cfRule>
    <cfRule type="cellIs" dxfId="160" priority="137" operator="equal">
      <formula>"Muy Baja"</formula>
    </cfRule>
  </conditionalFormatting>
  <conditionalFormatting sqref="AK6">
    <cfRule type="cellIs" dxfId="159" priority="129" operator="equal">
      <formula>"Extremo"</formula>
    </cfRule>
    <cfRule type="cellIs" dxfId="158" priority="130" operator="equal">
      <formula>"Alto"</formula>
    </cfRule>
    <cfRule type="cellIs" dxfId="157" priority="131" operator="equal">
      <formula>"Moderado"</formula>
    </cfRule>
    <cfRule type="cellIs" dxfId="156" priority="132" operator="equal">
      <formula>"Bajo"</formula>
    </cfRule>
  </conditionalFormatting>
  <conditionalFormatting sqref="AI6">
    <cfRule type="cellIs" dxfId="155" priority="124" operator="equal">
      <formula>"Catastrófico"</formula>
    </cfRule>
    <cfRule type="cellIs" dxfId="154" priority="125" operator="equal">
      <formula>"Mayor"</formula>
    </cfRule>
    <cfRule type="cellIs" dxfId="153" priority="126" operator="equal">
      <formula>"Moderado"</formula>
    </cfRule>
    <cfRule type="cellIs" dxfId="152" priority="127" operator="equal">
      <formula>"Menor"</formula>
    </cfRule>
    <cfRule type="cellIs" dxfId="151" priority="128" operator="equal">
      <formula>"Leve"</formula>
    </cfRule>
  </conditionalFormatting>
  <conditionalFormatting sqref="AG10:AG15">
    <cfRule type="cellIs" dxfId="150" priority="119" operator="equal">
      <formula>"Muy Alta"</formula>
    </cfRule>
    <cfRule type="cellIs" dxfId="149" priority="120" operator="equal">
      <formula>"Alta"</formula>
    </cfRule>
    <cfRule type="cellIs" dxfId="148" priority="121" operator="equal">
      <formula>"Media"</formula>
    </cfRule>
    <cfRule type="cellIs" dxfId="147" priority="122" operator="equal">
      <formula>"Baja"</formula>
    </cfRule>
    <cfRule type="cellIs" dxfId="146" priority="123" operator="equal">
      <formula>"Muy Baja"</formula>
    </cfRule>
  </conditionalFormatting>
  <conditionalFormatting sqref="AI10:AI11 AI13:AI15">
    <cfRule type="cellIs" dxfId="145" priority="114" operator="equal">
      <formula>"Catastrófico"</formula>
    </cfRule>
    <cfRule type="cellIs" dxfId="144" priority="115" operator="equal">
      <formula>"Mayor"</formula>
    </cfRule>
    <cfRule type="cellIs" dxfId="143" priority="116" operator="equal">
      <formula>"Moderado"</formula>
    </cfRule>
    <cfRule type="cellIs" dxfId="142" priority="117" operator="equal">
      <formula>"Menor"</formula>
    </cfRule>
    <cfRule type="cellIs" dxfId="141" priority="118" operator="equal">
      <formula>"Leve"</formula>
    </cfRule>
  </conditionalFormatting>
  <conditionalFormatting sqref="AI12">
    <cfRule type="cellIs" dxfId="140" priority="109" operator="equal">
      <formula>"Catastrófico"</formula>
    </cfRule>
    <cfRule type="cellIs" dxfId="139" priority="110" operator="equal">
      <formula>"Mayor"</formula>
    </cfRule>
    <cfRule type="cellIs" dxfId="138" priority="111" operator="equal">
      <formula>"Moderado"</formula>
    </cfRule>
    <cfRule type="cellIs" dxfId="137" priority="112" operator="equal">
      <formula>"Menor"</formula>
    </cfRule>
    <cfRule type="cellIs" dxfId="136" priority="113" operator="equal">
      <formula>"Leve"</formula>
    </cfRule>
  </conditionalFormatting>
  <conditionalFormatting sqref="AK10 AK13:AK15">
    <cfRule type="cellIs" dxfId="135" priority="105" operator="equal">
      <formula>"Extremo"</formula>
    </cfRule>
    <cfRule type="cellIs" dxfId="134" priority="106" operator="equal">
      <formula>"Alto"</formula>
    </cfRule>
    <cfRule type="cellIs" dxfId="133" priority="107" operator="equal">
      <formula>"Moderado"</formula>
    </cfRule>
    <cfRule type="cellIs" dxfId="132" priority="108" operator="equal">
      <formula>"Bajo"</formula>
    </cfRule>
  </conditionalFormatting>
  <conditionalFormatting sqref="AK11 AK13:AK15">
    <cfRule type="cellIs" dxfId="131" priority="101" operator="equal">
      <formula>"Extremo"</formula>
    </cfRule>
    <cfRule type="cellIs" dxfId="130" priority="102" operator="equal">
      <formula>"Alto"</formula>
    </cfRule>
    <cfRule type="cellIs" dxfId="129" priority="103" operator="equal">
      <formula>"Moderado"</formula>
    </cfRule>
    <cfRule type="cellIs" dxfId="128" priority="104" operator="equal">
      <formula>"Bajo"</formula>
    </cfRule>
  </conditionalFormatting>
  <conditionalFormatting sqref="AK12">
    <cfRule type="cellIs" dxfId="127" priority="97" operator="equal">
      <formula>"Extremo"</formula>
    </cfRule>
    <cfRule type="cellIs" dxfId="126" priority="98" operator="equal">
      <formula>"Alto"</formula>
    </cfRule>
    <cfRule type="cellIs" dxfId="125" priority="99" operator="equal">
      <formula>"Moderado"</formula>
    </cfRule>
    <cfRule type="cellIs" dxfId="124" priority="100" operator="equal">
      <formula>"Bajo"</formula>
    </cfRule>
  </conditionalFormatting>
  <conditionalFormatting sqref="AK16 AK19:AK21">
    <cfRule type="cellIs" dxfId="123" priority="93" operator="equal">
      <formula>"Extremo"</formula>
    </cfRule>
    <cfRule type="cellIs" dxfId="122" priority="94" operator="equal">
      <formula>"Alto"</formula>
    </cfRule>
    <cfRule type="cellIs" dxfId="121" priority="95" operator="equal">
      <formula>"Moderado"</formula>
    </cfRule>
    <cfRule type="cellIs" dxfId="120" priority="96" operator="equal">
      <formula>"Bajo"</formula>
    </cfRule>
  </conditionalFormatting>
  <conditionalFormatting sqref="AK17 AK19:AK21">
    <cfRule type="cellIs" dxfId="119" priority="89" operator="equal">
      <formula>"Extremo"</formula>
    </cfRule>
    <cfRule type="cellIs" dxfId="118" priority="90" operator="equal">
      <formula>"Alto"</formula>
    </cfRule>
    <cfRule type="cellIs" dxfId="117" priority="91" operator="equal">
      <formula>"Moderado"</formula>
    </cfRule>
    <cfRule type="cellIs" dxfId="116" priority="92" operator="equal">
      <formula>"Bajo"</formula>
    </cfRule>
  </conditionalFormatting>
  <conditionalFormatting sqref="AK18">
    <cfRule type="cellIs" dxfId="115" priority="85" operator="equal">
      <formula>"Extremo"</formula>
    </cfRule>
    <cfRule type="cellIs" dxfId="114" priority="86" operator="equal">
      <formula>"Alto"</formula>
    </cfRule>
    <cfRule type="cellIs" dxfId="113" priority="87" operator="equal">
      <formula>"Moderado"</formula>
    </cfRule>
    <cfRule type="cellIs" dxfId="112" priority="88" operator="equal">
      <formula>"Bajo"</formula>
    </cfRule>
  </conditionalFormatting>
  <conditionalFormatting sqref="AK22 AK25:AK27">
    <cfRule type="cellIs" dxfId="111" priority="81" operator="equal">
      <formula>"Extremo"</formula>
    </cfRule>
    <cfRule type="cellIs" dxfId="110" priority="82" operator="equal">
      <formula>"Alto"</formula>
    </cfRule>
    <cfRule type="cellIs" dxfId="109" priority="83" operator="equal">
      <formula>"Moderado"</formula>
    </cfRule>
    <cfRule type="cellIs" dxfId="108" priority="84" operator="equal">
      <formula>"Bajo"</formula>
    </cfRule>
  </conditionalFormatting>
  <conditionalFormatting sqref="AK23 AK25:AK27">
    <cfRule type="cellIs" dxfId="107" priority="77" operator="equal">
      <formula>"Extremo"</formula>
    </cfRule>
    <cfRule type="cellIs" dxfId="106" priority="78" operator="equal">
      <formula>"Alto"</formula>
    </cfRule>
    <cfRule type="cellIs" dxfId="105" priority="79" operator="equal">
      <formula>"Moderado"</formula>
    </cfRule>
    <cfRule type="cellIs" dxfId="104" priority="80" operator="equal">
      <formula>"Bajo"</formula>
    </cfRule>
  </conditionalFormatting>
  <conditionalFormatting sqref="AK24">
    <cfRule type="cellIs" dxfId="103" priority="73" operator="equal">
      <formula>"Extremo"</formula>
    </cfRule>
    <cfRule type="cellIs" dxfId="102" priority="74" operator="equal">
      <formula>"Alto"</formula>
    </cfRule>
    <cfRule type="cellIs" dxfId="101" priority="75" operator="equal">
      <formula>"Moderado"</formula>
    </cfRule>
    <cfRule type="cellIs" dxfId="100" priority="76" operator="equal">
      <formula>"Bajo"</formula>
    </cfRule>
  </conditionalFormatting>
  <conditionalFormatting sqref="AK28 AK31:AK33">
    <cfRule type="cellIs" dxfId="99" priority="69" operator="equal">
      <formula>"Extremo"</formula>
    </cfRule>
    <cfRule type="cellIs" dxfId="98" priority="70" operator="equal">
      <formula>"Alto"</formula>
    </cfRule>
    <cfRule type="cellIs" dxfId="97" priority="71" operator="equal">
      <formula>"Moderado"</formula>
    </cfRule>
    <cfRule type="cellIs" dxfId="96" priority="72" operator="equal">
      <formula>"Bajo"</formula>
    </cfRule>
  </conditionalFormatting>
  <conditionalFormatting sqref="AK29 AK31:AK33">
    <cfRule type="cellIs" dxfId="95" priority="65" operator="equal">
      <formula>"Extremo"</formula>
    </cfRule>
    <cfRule type="cellIs" dxfId="94" priority="66" operator="equal">
      <formula>"Alto"</formula>
    </cfRule>
    <cfRule type="cellIs" dxfId="93" priority="67" operator="equal">
      <formula>"Moderado"</formula>
    </cfRule>
    <cfRule type="cellIs" dxfId="92" priority="68" operator="equal">
      <formula>"Bajo"</formula>
    </cfRule>
  </conditionalFormatting>
  <conditionalFormatting sqref="AK30">
    <cfRule type="cellIs" dxfId="91" priority="61" operator="equal">
      <formula>"Extremo"</formula>
    </cfRule>
    <cfRule type="cellIs" dxfId="90" priority="62" operator="equal">
      <formula>"Alto"</formula>
    </cfRule>
    <cfRule type="cellIs" dxfId="89" priority="63" operator="equal">
      <formula>"Moderado"</formula>
    </cfRule>
    <cfRule type="cellIs" dxfId="88" priority="64" operator="equal">
      <formula>"Bajo"</formula>
    </cfRule>
  </conditionalFormatting>
  <conditionalFormatting sqref="AK34 AK37:AK39">
    <cfRule type="cellIs" dxfId="87" priority="57" operator="equal">
      <formula>"Extremo"</formula>
    </cfRule>
    <cfRule type="cellIs" dxfId="86" priority="58" operator="equal">
      <formula>"Alto"</formula>
    </cfRule>
    <cfRule type="cellIs" dxfId="85" priority="59" operator="equal">
      <formula>"Moderado"</formula>
    </cfRule>
    <cfRule type="cellIs" dxfId="84" priority="60" operator="equal">
      <formula>"Bajo"</formula>
    </cfRule>
  </conditionalFormatting>
  <conditionalFormatting sqref="AK35 AK37:AK39">
    <cfRule type="cellIs" dxfId="83" priority="53" operator="equal">
      <formula>"Extremo"</formula>
    </cfRule>
    <cfRule type="cellIs" dxfId="82" priority="54" operator="equal">
      <formula>"Alto"</formula>
    </cfRule>
    <cfRule type="cellIs" dxfId="81" priority="55" operator="equal">
      <formula>"Moderado"</formula>
    </cfRule>
    <cfRule type="cellIs" dxfId="80" priority="56" operator="equal">
      <formula>"Bajo"</formula>
    </cfRule>
  </conditionalFormatting>
  <conditionalFormatting sqref="AK36">
    <cfRule type="cellIs" dxfId="79" priority="49" operator="equal">
      <formula>"Extremo"</formula>
    </cfRule>
    <cfRule type="cellIs" dxfId="78" priority="50" operator="equal">
      <formula>"Alto"</formula>
    </cfRule>
    <cfRule type="cellIs" dxfId="77" priority="51" operator="equal">
      <formula>"Moderado"</formula>
    </cfRule>
    <cfRule type="cellIs" dxfId="76" priority="52" operator="equal">
      <formula>"Bajo"</formula>
    </cfRule>
  </conditionalFormatting>
  <conditionalFormatting sqref="AK40 AK43:AK45">
    <cfRule type="cellIs" dxfId="75" priority="45" operator="equal">
      <formula>"Extremo"</formula>
    </cfRule>
    <cfRule type="cellIs" dxfId="74" priority="46" operator="equal">
      <formula>"Alto"</formula>
    </cfRule>
    <cfRule type="cellIs" dxfId="73" priority="47" operator="equal">
      <formula>"Moderado"</formula>
    </cfRule>
    <cfRule type="cellIs" dxfId="72" priority="48" operator="equal">
      <formula>"Bajo"</formula>
    </cfRule>
  </conditionalFormatting>
  <conditionalFormatting sqref="AK41 AK43:AK45">
    <cfRule type="cellIs" dxfId="71" priority="41" operator="equal">
      <formula>"Extremo"</formula>
    </cfRule>
    <cfRule type="cellIs" dxfId="70" priority="42" operator="equal">
      <formula>"Alto"</formula>
    </cfRule>
    <cfRule type="cellIs" dxfId="69" priority="43" operator="equal">
      <formula>"Moderado"</formula>
    </cfRule>
    <cfRule type="cellIs" dxfId="68" priority="44" operator="equal">
      <formula>"Bajo"</formula>
    </cfRule>
  </conditionalFormatting>
  <conditionalFormatting sqref="AK42">
    <cfRule type="cellIs" dxfId="67" priority="37" operator="equal">
      <formula>"Extremo"</formula>
    </cfRule>
    <cfRule type="cellIs" dxfId="66" priority="38" operator="equal">
      <formula>"Alto"</formula>
    </cfRule>
    <cfRule type="cellIs" dxfId="65" priority="39" operator="equal">
      <formula>"Moderado"</formula>
    </cfRule>
    <cfRule type="cellIs" dxfId="64" priority="40" operator="equal">
      <formula>"Bajo"</formula>
    </cfRule>
  </conditionalFormatting>
  <conditionalFormatting sqref="AK46 AK49:AK51">
    <cfRule type="cellIs" dxfId="63" priority="33" operator="equal">
      <formula>"Extremo"</formula>
    </cfRule>
    <cfRule type="cellIs" dxfId="62" priority="34" operator="equal">
      <formula>"Alto"</formula>
    </cfRule>
    <cfRule type="cellIs" dxfId="61" priority="35" operator="equal">
      <formula>"Moderado"</formula>
    </cfRule>
    <cfRule type="cellIs" dxfId="60" priority="36" operator="equal">
      <formula>"Bajo"</formula>
    </cfRule>
  </conditionalFormatting>
  <conditionalFormatting sqref="AK47 AK49:AK51">
    <cfRule type="cellIs" dxfId="59" priority="29" operator="equal">
      <formula>"Extremo"</formula>
    </cfRule>
    <cfRule type="cellIs" dxfId="58" priority="30" operator="equal">
      <formula>"Alto"</formula>
    </cfRule>
    <cfRule type="cellIs" dxfId="57" priority="31" operator="equal">
      <formula>"Moderado"</formula>
    </cfRule>
    <cfRule type="cellIs" dxfId="56" priority="32" operator="equal">
      <formula>"Bajo"</formula>
    </cfRule>
  </conditionalFormatting>
  <conditionalFormatting sqref="AK48">
    <cfRule type="cellIs" dxfId="55" priority="25" operator="equal">
      <formula>"Extremo"</formula>
    </cfRule>
    <cfRule type="cellIs" dxfId="54" priority="26" operator="equal">
      <formula>"Alto"</formula>
    </cfRule>
    <cfRule type="cellIs" dxfId="53" priority="27" operator="equal">
      <formula>"Moderado"</formula>
    </cfRule>
    <cfRule type="cellIs" dxfId="52" priority="28" operator="equal">
      <formula>"Bajo"</formula>
    </cfRule>
  </conditionalFormatting>
  <conditionalFormatting sqref="AK52 AK55:AK57">
    <cfRule type="cellIs" dxfId="51" priority="21" operator="equal">
      <formula>"Extremo"</formula>
    </cfRule>
    <cfRule type="cellIs" dxfId="50" priority="22" operator="equal">
      <formula>"Alto"</formula>
    </cfRule>
    <cfRule type="cellIs" dxfId="49" priority="23" operator="equal">
      <formula>"Moderado"</formula>
    </cfRule>
    <cfRule type="cellIs" dxfId="48" priority="24" operator="equal">
      <formula>"Bajo"</formula>
    </cfRule>
  </conditionalFormatting>
  <conditionalFormatting sqref="AK53 AK55:AK57">
    <cfRule type="cellIs" dxfId="47" priority="17" operator="equal">
      <formula>"Extremo"</formula>
    </cfRule>
    <cfRule type="cellIs" dxfId="46" priority="18" operator="equal">
      <formula>"Alto"</formula>
    </cfRule>
    <cfRule type="cellIs" dxfId="45" priority="19" operator="equal">
      <formula>"Moderado"</formula>
    </cfRule>
    <cfRule type="cellIs" dxfId="44" priority="20" operator="equal">
      <formula>"Bajo"</formula>
    </cfRule>
  </conditionalFormatting>
  <conditionalFormatting sqref="AK54">
    <cfRule type="cellIs" dxfId="43" priority="13" operator="equal">
      <formula>"Extremo"</formula>
    </cfRule>
    <cfRule type="cellIs" dxfId="42" priority="14" operator="equal">
      <formula>"Alto"</formula>
    </cfRule>
    <cfRule type="cellIs" dxfId="41" priority="15" operator="equal">
      <formula>"Moderado"</formula>
    </cfRule>
    <cfRule type="cellIs" dxfId="40" priority="16" operator="equal">
      <formula>"Bajo"</formula>
    </cfRule>
  </conditionalFormatting>
  <conditionalFormatting sqref="AK58 AK61:AK63">
    <cfRule type="cellIs" dxfId="39" priority="9" operator="equal">
      <formula>"Extremo"</formula>
    </cfRule>
    <cfRule type="cellIs" dxfId="38" priority="10" operator="equal">
      <formula>"Alto"</formula>
    </cfRule>
    <cfRule type="cellIs" dxfId="37" priority="11" operator="equal">
      <formula>"Moderado"</formula>
    </cfRule>
    <cfRule type="cellIs" dxfId="36" priority="12" operator="equal">
      <formula>"Bajo"</formula>
    </cfRule>
  </conditionalFormatting>
  <conditionalFormatting sqref="AK59 AK61:AK63">
    <cfRule type="cellIs" dxfId="35" priority="5" operator="equal">
      <formula>"Extremo"</formula>
    </cfRule>
    <cfRule type="cellIs" dxfId="34" priority="6" operator="equal">
      <formula>"Alto"</formula>
    </cfRule>
    <cfRule type="cellIs" dxfId="33" priority="7" operator="equal">
      <formula>"Moderado"</formula>
    </cfRule>
    <cfRule type="cellIs" dxfId="32" priority="8" operator="equal">
      <formula>"Bajo"</formula>
    </cfRule>
  </conditionalFormatting>
  <conditionalFormatting sqref="AK60">
    <cfRule type="cellIs" dxfId="31" priority="1" operator="equal">
      <formula>"Extremo"</formula>
    </cfRule>
    <cfRule type="cellIs" dxfId="30" priority="2" operator="equal">
      <formula>"Alto"</formula>
    </cfRule>
    <cfRule type="cellIs" dxfId="29" priority="3" operator="equal">
      <formula>"Moderado"</formula>
    </cfRule>
    <cfRule type="cellIs" dxfId="28" priority="4" operator="equal">
      <formula>"Bajo"</formula>
    </cfRule>
  </conditionalFormatting>
  <dataValidations count="3">
    <dataValidation type="list" allowBlank="1" showInputMessage="1" showErrorMessage="1" error="Recuerde que las acciones se generan bajo la medida de mitigar el riesgo" sqref="AP4:AQ63">
      <formula1>INDIRECT((SUBSTITUTE(AO4," ","_")))</formula1>
    </dataValidation>
    <dataValidation type="list" allowBlank="1" showInputMessage="1" showErrorMessage="1" error="Recuerde que las acciones se generan bajo la medida de mitigar el riesgo" sqref="AO4:AO63">
      <formula1>CONTROLG</formula1>
    </dataValidation>
    <dataValidation allowBlank="1" showDropDown="1" showInputMessage="1" showErrorMessage="1" sqref="J40 J4 J10 J16 J22 J28 J46 J52 J34 J58"/>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'C:\Users\MariaV\Downloads\[FORMATO DE RIESGO vF.xlsx]Tabla Valoración controles'!#REF!</xm:f>
          </x14:formula1>
          <xm:sqref>AF4:AF63</xm:sqref>
        </x14:dataValidation>
        <x14:dataValidation type="list" allowBlank="1" showInputMessage="1" showErrorMessage="1">
          <x14:formula1>
            <xm:f>'C:\Users\MariaV\Downloads\[FORMATO DE RIESGO vF.xlsx]Tabla probabilidad'!#REF!</xm:f>
          </x14:formula1>
          <xm:sqref>K4:K63</xm:sqref>
        </x14:dataValidation>
        <x14:dataValidation type="list" allowBlank="1" showInputMessage="1" showErrorMessage="1">
          <x14:formula1>
            <xm:f>'C:\Users\MariaV\Downloads\[FORMATO DE RIESGO vF.xlsx]Tabla Valoración controles'!#REF!</xm:f>
          </x14:formula1>
          <xm:sqref>I4:I63</xm:sqref>
        </x14:dataValidation>
        <x14:dataValidation type="custom" allowBlank="1" showInputMessage="1" showErrorMessage="1" error="Recuerde que las acciones se generan bajo la medida de mitigar el riesgo">
          <x14:formula1>
            <xm:f>IF(OR(AL4='C:\Users\MariaV\Downloads\[FORMATO DE RIESGO vF.xlsx]Opciones Tratamiento'!#REF!,AL4='C:\Users\MariaV\Downloads\[FORMATO DE RIESGO vF.xlsx]Opciones Tratamiento'!#REF!,AL4='C:\Users\MariaV\Downloads\[FORMATO DE RIESGO vF.xlsx]Opciones Tratamiento'!#REF!),ISBLANK(AL4),ISTEXT(AL4))</xm:f>
          </x14:formula1>
          <xm:sqref>AN4:AN63</xm:sqref>
        </x14:dataValidation>
        <x14:dataValidation type="list" allowBlank="1" showInputMessage="1" showErrorMessage="1">
          <x14:formula1>
            <xm:f>'C:\Users\MariaV\Downloads\[FORMATO DE RIESGO vF.xlsx]Tabla Valoración controles'!#REF!</xm:f>
          </x14:formula1>
          <xm:sqref>C4:C63</xm:sqref>
        </x14:dataValidation>
        <x14:dataValidation type="custom" allowBlank="1" showInputMessage="1" showErrorMessage="1" error="Recuerde que las acciones se generan bajo la medida de mitigar el riesgo">
          <x14:formula1>
            <xm:f>IF(OR(AL4='C:\Users\MariaV\Downloads\[FORMATO DE RIESGO vF.xlsx]Opciones Tratamiento'!#REF!,AL4='C:\Users\MariaV\Downloads\[FORMATO DE RIESGO vF.xlsx]Opciones Tratamiento'!#REF!,AL4='C:\Users\MariaV\Downloads\[FORMATO DE RIESGO vF.xlsx]Opciones Tratamiento'!#REF!),ISBLANK(AL4),ISTEXT(AL4))</xm:f>
          </x14:formula1>
          <xm:sqref>AT4:AT63</xm:sqref>
        </x14:dataValidation>
        <x14:dataValidation type="custom" allowBlank="1" showInputMessage="1" showErrorMessage="1" error="Recuerde que las acciones se generan bajo la medida de mitigar el riesgo">
          <x14:formula1>
            <xm:f>IF(OR(AL4='C:\Users\MariaV\Downloads\[FORMATO DE RIESGO vF.xlsx]Opciones Tratamiento'!#REF!,AL4='C:\Users\MariaV\Downloads\[FORMATO DE RIESGO vF.xlsx]Opciones Tratamiento'!#REF!,AL4='C:\Users\MariaV\Downloads\[FORMATO DE RIESGO vF.xlsx]Opciones Tratamiento'!#REF!),ISBLANK(AL4),ISTEXT(AL4))</xm:f>
          </x14:formula1>
          <xm:sqref>AS4:AS63</xm:sqref>
        </x14:dataValidation>
        <x14:dataValidation type="custom" allowBlank="1" showInputMessage="1" showErrorMessage="1" error="Recuerde que las acciones se generan bajo la medida de mitigar el riesgo">
          <x14:formula1>
            <xm:f>IF(OR(AL4='C:\Users\MariaV\Downloads\[FORMATO DE RIESGO vF.xlsx]Opciones Tratamiento'!#REF!,AL4='C:\Users\MariaV\Downloads\[FORMATO DE RIESGO vF.xlsx]Opciones Tratamiento'!#REF!,AL4='C:\Users\MariaV\Downloads\[FORMATO DE RIESGO vF.xlsx]Opciones Tratamiento'!#REF!),ISBLANK(AL4),ISTEXT(AL4))</xm:f>
          </x14:formula1>
          <xm:sqref>AR4:AR63</xm:sqref>
        </x14:dataValidation>
        <x14:dataValidation type="custom" allowBlank="1" showInputMessage="1" showErrorMessage="1" error="Recuerde que las acciones se generan bajo la medida de mitigar el riesgo">
          <x14:formula1>
            <xm:f>IF(OR(AL4='C:\Users\MariaV\Downloads\[FORMATO DE RIESGO vF.xlsx]Opciones Tratamiento'!#REF!,AL4='C:\Users\MariaV\Downloads\[FORMATO DE RIESGO vF.xlsx]Opciones Tratamiento'!#REF!,AL4='C:\Users\MariaV\Downloads\[FORMATO DE RIESGO vF.xlsx]Opciones Tratamiento'!#REF!),ISBLANK(AL4),ISTEXT(AL4))</xm:f>
          </x14:formula1>
          <xm:sqref>AM4:AM63</xm:sqref>
        </x14:dataValidation>
        <x14:dataValidation type="list" allowBlank="1" showInputMessage="1" showErrorMessage="1">
          <x14:formula1>
            <xm:f>'C:\Users\MariaV\Downloads\[FORMATO DE RIESGO vF.xlsx]Tabla Impacto'!#REF!</xm:f>
          </x14:formula1>
          <xm:sqref>N4:N63</xm:sqref>
        </x14:dataValidation>
        <x14:dataValidation type="list" allowBlank="1" showInputMessage="1" showErrorMessage="1">
          <x14:formula1>
            <xm:f>'C:\Users\MariaV\Downloads\[FORMATO DE RIESGO vF.xlsx]Opciones Tratamiento'!#REF!</xm:f>
          </x14:formula1>
          <xm:sqref>AL4:AL63</xm:sqref>
        </x14:dataValidation>
        <x14:dataValidation type="list" allowBlank="1" showInputMessage="1" showErrorMessage="1">
          <x14:formula1>
            <xm:f>'C:\Users\MariaV\Downloads\[FORMATO DE RIESGO vF.xlsx]Opciones Tratamiento'!#REF!</xm:f>
          </x14:formula1>
          <xm:sqref>D4:D63</xm:sqref>
        </x14:dataValidation>
        <x14:dataValidation type="list" allowBlank="1" showInputMessage="1" showErrorMessage="1">
          <x14:formula1>
            <xm:f>'C:\Users\MariaV\Downloads\[FORMATO DE RIESGO vF.xlsx]Opciones Tratamiento'!#REF!</xm:f>
          </x14:formula1>
          <xm:sqref>H4:H63</xm:sqref>
        </x14:dataValidation>
        <x14:dataValidation type="list" allowBlank="1" showInputMessage="1" showErrorMessage="1">
          <x14:formula1>
            <xm:f>'C:\Users\MariaV\Downloads\[FORMATO DE RIESGO vF.xlsx]Tabla Valoración controles'!#REF!</xm:f>
          </x14:formula1>
          <xm:sqref>Z4:Z63</xm:sqref>
        </x14:dataValidation>
        <x14:dataValidation type="list" allowBlank="1" showInputMessage="1" showErrorMessage="1">
          <x14:formula1>
            <xm:f>'C:\Users\MariaV\Downloads\[FORMATO DE RIESGO vF.xlsx]Opciones Tratamiento'!#REF!</xm:f>
          </x14:formula1>
          <xm:sqref>AU61:AU62 AU13:AU14 AU16:AU17 AU19:AU20 AU22:AU23 AU25:AU26 AU28:AU29 AU31:AU32 AU34:AU35 AU37:AU38 AU40:AU41 AU43:AU44 AU46:AU47 AU49:AU50 AU52:AU53 AU55:AU56 AU58:AU59 AU4:AU11</xm:sqref>
        </x14:dataValidation>
        <x14:dataValidation type="list" allowBlank="1" showInputMessage="1" showErrorMessage="1">
          <x14:formula1>
            <xm:f>'C:\Users\MariaV\Downloads\[FORMATO DE RIESGO vF.xlsx]Tabla Valoración controles'!#REF!</xm:f>
          </x14:formula1>
          <xm:sqref>Y4:Y63</xm:sqref>
        </x14:dataValidation>
        <x14:dataValidation type="list" allowBlank="1" showInputMessage="1" showErrorMessage="1">
          <x14:formula1>
            <xm:f>'C:\Users\MariaV\Downloads\[FORMATO DE RIESGO vF.xlsx]Tabla Valoración controles'!#REF!</xm:f>
          </x14:formula1>
          <xm:sqref>X4:X63</xm:sqref>
        </x14:dataValidation>
        <x14:dataValidation type="list" allowBlank="1" showInputMessage="1" showErrorMessage="1">
          <x14:formula1>
            <xm:f>'C:\Users\MariaV\Downloads\[FORMATO DE RIESGO vF.xlsx]Tabla Valoración controles'!#REF!</xm:f>
          </x14:formula1>
          <xm:sqref>V4:V63</xm:sqref>
        </x14:dataValidation>
        <x14:dataValidation type="list" allowBlank="1" showInputMessage="1" showErrorMessage="1">
          <x14:formula1>
            <xm:f>'C:\Users\MariaV\Downloads\[FORMATO DE RIESGO vF.xlsx]Tabla Valoración controles'!#REF!</xm:f>
          </x14:formula1>
          <xm:sqref>U4:U63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140"/>
  <sheetViews>
    <sheetView zoomScale="50" zoomScaleNormal="50" workbookViewId="0">
      <selection activeCell="L28" sqref="L28:M29"/>
    </sheetView>
  </sheetViews>
  <sheetFormatPr baseColWidth="10" defaultRowHeight="15" x14ac:dyDescent="0.25"/>
  <cols>
    <col min="2" max="39" width="5.7109375" customWidth="1"/>
    <col min="41" max="46" width="5.7109375" customWidth="1"/>
  </cols>
  <sheetData>
    <row r="1" spans="1:99" x14ac:dyDescent="0.2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row>
    <row r="2" spans="1:99" ht="18" customHeight="1" x14ac:dyDescent="0.25">
      <c r="A2" s="49"/>
      <c r="B2" s="383" t="s">
        <v>142</v>
      </c>
      <c r="C2" s="383"/>
      <c r="D2" s="383"/>
      <c r="E2" s="383"/>
      <c r="F2" s="383"/>
      <c r="G2" s="383"/>
      <c r="H2" s="383"/>
      <c r="I2" s="383"/>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row>
    <row r="3" spans="1:99" ht="18.75" customHeight="1" x14ac:dyDescent="0.25">
      <c r="A3" s="49"/>
      <c r="B3" s="383"/>
      <c r="C3" s="383"/>
      <c r="D3" s="383"/>
      <c r="E3" s="383"/>
      <c r="F3" s="383"/>
      <c r="G3" s="383"/>
      <c r="H3" s="383"/>
      <c r="I3" s="383"/>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row>
    <row r="4" spans="1:99" ht="15" customHeight="1" x14ac:dyDescent="0.25">
      <c r="A4" s="49"/>
      <c r="B4" s="383"/>
      <c r="C4" s="383"/>
      <c r="D4" s="383"/>
      <c r="E4" s="383"/>
      <c r="F4" s="383"/>
      <c r="G4" s="383"/>
      <c r="H4" s="383"/>
      <c r="I4" s="383"/>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row>
    <row r="5" spans="1:99" ht="15.75" thickBot="1" x14ac:dyDescent="0.3">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row>
    <row r="6" spans="1:99" ht="15" customHeight="1" x14ac:dyDescent="0.25">
      <c r="A6" s="49"/>
      <c r="B6" s="296" t="s">
        <v>4</v>
      </c>
      <c r="C6" s="296"/>
      <c r="D6" s="297"/>
      <c r="E6" s="334" t="s">
        <v>101</v>
      </c>
      <c r="F6" s="335"/>
      <c r="G6" s="335"/>
      <c r="H6" s="335"/>
      <c r="I6" s="336"/>
      <c r="J6" s="346" t="str">
        <f>IF(AND('MAPA CORRUPCION'!$J$5="Muy Alta",'MAPA CORRUPCION'!$O$5="Leve"),CONCATENATE("R",'MAPA CORRUPCION'!$A$5),"")</f>
        <v/>
      </c>
      <c r="K6" s="347"/>
      <c r="L6" s="347" t="str">
        <f>IF(AND('MAPA CORRUPCION'!$J$6="Muy Alta",'MAPA CORRUPCION'!$O$6="Leve"),CONCATENATE("R",'MAPA CORRUPCION'!$A$6),"")</f>
        <v/>
      </c>
      <c r="M6" s="347"/>
      <c r="N6" s="347" t="str">
        <f>IF(AND('MAPA CORRUPCION'!$J$10="Muy Alta",'MAPA CORRUPCION'!$O$10="Leve"),CONCATENATE("R",'MAPA CORRUPCION'!$A$10),"")</f>
        <v/>
      </c>
      <c r="O6" s="349"/>
      <c r="P6" s="346" t="str">
        <f>IF(AND('MAPA CORRUPCION'!$J$5="Muy Alta",'MAPA CORRUPCION'!$O$5="Menor"),CONCATENATE("R",'MAPA CORRUPCION'!$A$5),"")</f>
        <v/>
      </c>
      <c r="Q6" s="347"/>
      <c r="R6" s="347" t="str">
        <f>IF(AND('MAPA CORRUPCION'!$J$6="Muy Alta",'MAPA CORRUPCION'!$O$6="Menor"),CONCATENATE("R",'MAPA CORRUPCION'!$A$6),"")</f>
        <v/>
      </c>
      <c r="S6" s="347"/>
      <c r="T6" s="347" t="str">
        <f>IF(AND('MAPA CORRUPCION'!$J$10="Muy Alta",'MAPA CORRUPCION'!$O$10="Menor"),CONCATENATE("R",'MAPA CORRUPCION'!$A$10),"")</f>
        <v/>
      </c>
      <c r="U6" s="349"/>
      <c r="V6" s="346" t="str">
        <f>IF(AND('MAPA CORRUPCION'!$J$5="Muy Alta",'MAPA CORRUPCION'!$O$5="Moderado"),CONCATENATE("R",'MAPA CORRUPCION'!$A$5),"")</f>
        <v/>
      </c>
      <c r="W6" s="347"/>
      <c r="X6" s="347" t="str">
        <f>IF(AND('MAPA CORRUPCION'!$J$6="Muy Alta",'MAPA CORRUPCION'!$O$6="Moderado"),CONCATENATE("R",'MAPA CORRUPCION'!$A$6),"")</f>
        <v/>
      </c>
      <c r="Y6" s="347"/>
      <c r="Z6" s="347" t="str">
        <f>IF(AND('MAPA CORRUPCION'!$J$10="Muy Alta",'MAPA CORRUPCION'!$O$10="Moderado"),CONCATENATE("R",'MAPA CORRUPCION'!$A$10),"")</f>
        <v/>
      </c>
      <c r="AA6" s="349"/>
      <c r="AB6" s="346" t="str">
        <f>IF(AND('MAPA CORRUPCION'!$J$5="Muy Alta",'MAPA CORRUPCION'!$O$5="Mayor"),CONCATENATE("R",'MAPA CORRUPCION'!$A$5),"")</f>
        <v/>
      </c>
      <c r="AC6" s="347"/>
      <c r="AD6" s="347" t="str">
        <f>IF(AND('MAPA CORRUPCION'!$J$6="Muy Alta",'MAPA CORRUPCION'!$O$6="Mayor"),CONCATENATE("R",'MAPA CORRUPCION'!$A$6),"")</f>
        <v/>
      </c>
      <c r="AE6" s="347"/>
      <c r="AF6" s="347" t="str">
        <f>IF(AND('MAPA CORRUPCION'!$J$10="Muy Alta",'MAPA CORRUPCION'!$O$10="Mayor"),CONCATENATE("R",'MAPA CORRUPCION'!$A$10),"")</f>
        <v/>
      </c>
      <c r="AG6" s="349"/>
      <c r="AH6" s="362" t="str">
        <f>IF(AND('MAPA CORRUPCION'!$J$5="Muy Alta",'MAPA CORRUPCION'!$O$5="Catastrófico"),CONCATENATE("R",'MAPA CORRUPCION'!$A$5),"")</f>
        <v/>
      </c>
      <c r="AI6" s="363"/>
      <c r="AJ6" s="363" t="str">
        <f>IF(AND('MAPA CORRUPCION'!$J$6="Muy Alta",'MAPA CORRUPCION'!$O$6="Catastrófico"),CONCATENATE("R",'MAPA CORRUPCION'!$A$6),"")</f>
        <v/>
      </c>
      <c r="AK6" s="363"/>
      <c r="AL6" s="363" t="str">
        <f>IF(AND('MAPA CORRUPCION'!$J$10="Muy Alta",'MAPA CORRUPCION'!$O$10="Catastrófico"),CONCATENATE("R",'MAPA CORRUPCION'!$A$10),"")</f>
        <v/>
      </c>
      <c r="AM6" s="364"/>
      <c r="AO6" s="298" t="s">
        <v>68</v>
      </c>
      <c r="AP6" s="299"/>
      <c r="AQ6" s="299"/>
      <c r="AR6" s="299"/>
      <c r="AS6" s="299"/>
      <c r="AT6" s="300"/>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row>
    <row r="7" spans="1:99" ht="15" customHeight="1" x14ac:dyDescent="0.25">
      <c r="A7" s="49"/>
      <c r="B7" s="296"/>
      <c r="C7" s="296"/>
      <c r="D7" s="297"/>
      <c r="E7" s="337"/>
      <c r="F7" s="338"/>
      <c r="G7" s="338"/>
      <c r="H7" s="338"/>
      <c r="I7" s="339"/>
      <c r="J7" s="348"/>
      <c r="K7" s="345"/>
      <c r="L7" s="345"/>
      <c r="M7" s="345"/>
      <c r="N7" s="345"/>
      <c r="O7" s="344"/>
      <c r="P7" s="348"/>
      <c r="Q7" s="345"/>
      <c r="R7" s="345"/>
      <c r="S7" s="345"/>
      <c r="T7" s="345"/>
      <c r="U7" s="344"/>
      <c r="V7" s="348"/>
      <c r="W7" s="345"/>
      <c r="X7" s="345"/>
      <c r="Y7" s="345"/>
      <c r="Z7" s="345"/>
      <c r="AA7" s="344"/>
      <c r="AB7" s="348"/>
      <c r="AC7" s="345"/>
      <c r="AD7" s="345"/>
      <c r="AE7" s="345"/>
      <c r="AF7" s="345"/>
      <c r="AG7" s="344"/>
      <c r="AH7" s="356"/>
      <c r="AI7" s="357"/>
      <c r="AJ7" s="357"/>
      <c r="AK7" s="357"/>
      <c r="AL7" s="357"/>
      <c r="AM7" s="358"/>
      <c r="AN7" s="49"/>
      <c r="AO7" s="301"/>
      <c r="AP7" s="302"/>
      <c r="AQ7" s="302"/>
      <c r="AR7" s="302"/>
      <c r="AS7" s="302"/>
      <c r="AT7" s="303"/>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row>
    <row r="8" spans="1:99" ht="15" customHeight="1" x14ac:dyDescent="0.25">
      <c r="A8" s="49"/>
      <c r="B8" s="296"/>
      <c r="C8" s="296"/>
      <c r="D8" s="297"/>
      <c r="E8" s="337"/>
      <c r="F8" s="338"/>
      <c r="G8" s="338"/>
      <c r="H8" s="338"/>
      <c r="I8" s="339"/>
      <c r="J8" s="348" t="str">
        <f ca="1">IF(AND('MAPA CORRUPCION'!$J$16="Muy Alta",'MAPA CORRUPCION'!$O$16="Leve"),CONCATENATE("R",'MAPA CORRUPCION'!$A$16),"")</f>
        <v/>
      </c>
      <c r="K8" s="345"/>
      <c r="L8" s="343" t="str">
        <f ca="1">IF(AND('MAPA CORRUPCION'!$J$18="Muy Alta",'MAPA CORRUPCION'!$O$18="Leve"),CONCATENATE("R",'MAPA CORRUPCION'!$A$18),"")</f>
        <v/>
      </c>
      <c r="M8" s="343"/>
      <c r="N8" s="343" t="e">
        <f>IF(AND('MAPA CORRUPCION'!#REF!="Muy Alta",'MAPA CORRUPCION'!#REF!="Leve"),CONCATENATE("R",'MAPA CORRUPCION'!#REF!),"")</f>
        <v>#REF!</v>
      </c>
      <c r="O8" s="344"/>
      <c r="P8" s="348" t="str">
        <f ca="1">IF(AND('MAPA CORRUPCION'!$J$16="Muy Alta",'MAPA CORRUPCION'!$O$16="Menor"),CONCATENATE("R",'MAPA CORRUPCION'!$A$16),"")</f>
        <v/>
      </c>
      <c r="Q8" s="345"/>
      <c r="R8" s="343" t="str">
        <f ca="1">IF(AND('MAPA CORRUPCION'!$J$18="Muy Alta",'MAPA CORRUPCION'!$O$18="Menor"),CONCATENATE("R",'MAPA CORRUPCION'!$A$18),"")</f>
        <v/>
      </c>
      <c r="S8" s="343"/>
      <c r="T8" s="343" t="e">
        <f>IF(AND('MAPA CORRUPCION'!#REF!="Muy Alta",'MAPA CORRUPCION'!#REF!="Menor"),CONCATENATE("R",'MAPA CORRUPCION'!#REF!),"")</f>
        <v>#REF!</v>
      </c>
      <c r="U8" s="344"/>
      <c r="V8" s="348" t="str">
        <f ca="1">IF(AND('MAPA CORRUPCION'!$J$16="Muy Alta",'MAPA CORRUPCION'!$O$16="Moderado"),CONCATENATE("R",'MAPA CORRUPCION'!$A$16),"")</f>
        <v/>
      </c>
      <c r="W8" s="345"/>
      <c r="X8" s="343" t="str">
        <f ca="1">IF(AND('MAPA CORRUPCION'!$J$18="Muy Alta",'MAPA CORRUPCION'!$O$18="Moderado"),CONCATENATE("R",'MAPA CORRUPCION'!$A$18),"")</f>
        <v/>
      </c>
      <c r="Y8" s="343"/>
      <c r="Z8" s="343" t="e">
        <f>IF(AND('MAPA CORRUPCION'!#REF!="Muy Alta",'MAPA CORRUPCION'!#REF!="Moderado"),CONCATENATE("R",'MAPA CORRUPCION'!#REF!),"")</f>
        <v>#REF!</v>
      </c>
      <c r="AA8" s="344"/>
      <c r="AB8" s="348" t="str">
        <f ca="1">IF(AND('MAPA CORRUPCION'!$J$16="Muy Alta",'MAPA CORRUPCION'!$O$16="Mayor"),CONCATENATE("R",'MAPA CORRUPCION'!$A$16),"")</f>
        <v/>
      </c>
      <c r="AC8" s="345"/>
      <c r="AD8" s="343" t="str">
        <f ca="1">IF(AND('MAPA CORRUPCION'!$J$18="Muy Alta",'MAPA CORRUPCION'!$O$18="Mayor"),CONCATENATE("R",'MAPA CORRUPCION'!$A$18),"")</f>
        <v/>
      </c>
      <c r="AE8" s="343"/>
      <c r="AF8" s="343" t="e">
        <f>IF(AND('MAPA CORRUPCION'!#REF!="Muy Alta",'MAPA CORRUPCION'!#REF!="Mayor"),CONCATENATE("R",'MAPA CORRUPCION'!#REF!),"")</f>
        <v>#REF!</v>
      </c>
      <c r="AG8" s="344"/>
      <c r="AH8" s="356" t="str">
        <f ca="1">IF(AND('MAPA CORRUPCION'!$J$16="Muy Alta",'MAPA CORRUPCION'!$O$16="Catastrófico"),CONCATENATE("R",'MAPA CORRUPCION'!$A$16),"")</f>
        <v/>
      </c>
      <c r="AI8" s="357"/>
      <c r="AJ8" s="357" t="str">
        <f ca="1">IF(AND('MAPA CORRUPCION'!$J$18="Muy Alta",'MAPA CORRUPCION'!$O$18="Catastrófico"),CONCATENATE("R",'MAPA CORRUPCION'!$A$18),"")</f>
        <v/>
      </c>
      <c r="AK8" s="357"/>
      <c r="AL8" s="357" t="e">
        <f>IF(AND('MAPA CORRUPCION'!#REF!="Muy Alta",'MAPA CORRUPCION'!#REF!="Catastrófico"),CONCATENATE("R",'MAPA CORRUPCION'!#REF!),"")</f>
        <v>#REF!</v>
      </c>
      <c r="AM8" s="358"/>
      <c r="AN8" s="49"/>
      <c r="AO8" s="301"/>
      <c r="AP8" s="302"/>
      <c r="AQ8" s="302"/>
      <c r="AR8" s="302"/>
      <c r="AS8" s="302"/>
      <c r="AT8" s="303"/>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row>
    <row r="9" spans="1:99" ht="15" customHeight="1" x14ac:dyDescent="0.25">
      <c r="A9" s="49"/>
      <c r="B9" s="296"/>
      <c r="C9" s="296"/>
      <c r="D9" s="297"/>
      <c r="E9" s="337"/>
      <c r="F9" s="338"/>
      <c r="G9" s="338"/>
      <c r="H9" s="338"/>
      <c r="I9" s="339"/>
      <c r="J9" s="348"/>
      <c r="K9" s="345"/>
      <c r="L9" s="343"/>
      <c r="M9" s="343"/>
      <c r="N9" s="343"/>
      <c r="O9" s="344"/>
      <c r="P9" s="348"/>
      <c r="Q9" s="345"/>
      <c r="R9" s="343"/>
      <c r="S9" s="343"/>
      <c r="T9" s="343"/>
      <c r="U9" s="344"/>
      <c r="V9" s="348"/>
      <c r="W9" s="345"/>
      <c r="X9" s="343"/>
      <c r="Y9" s="343"/>
      <c r="Z9" s="343"/>
      <c r="AA9" s="344"/>
      <c r="AB9" s="348"/>
      <c r="AC9" s="345"/>
      <c r="AD9" s="343"/>
      <c r="AE9" s="343"/>
      <c r="AF9" s="343"/>
      <c r="AG9" s="344"/>
      <c r="AH9" s="356"/>
      <c r="AI9" s="357"/>
      <c r="AJ9" s="357"/>
      <c r="AK9" s="357"/>
      <c r="AL9" s="357"/>
      <c r="AM9" s="358"/>
      <c r="AN9" s="49"/>
      <c r="AO9" s="301"/>
      <c r="AP9" s="302"/>
      <c r="AQ9" s="302"/>
      <c r="AR9" s="302"/>
      <c r="AS9" s="302"/>
      <c r="AT9" s="303"/>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row>
    <row r="10" spans="1:99" ht="15" customHeight="1" x14ac:dyDescent="0.25">
      <c r="A10" s="49"/>
      <c r="B10" s="296"/>
      <c r="C10" s="296"/>
      <c r="D10" s="297"/>
      <c r="E10" s="337"/>
      <c r="F10" s="338"/>
      <c r="G10" s="338"/>
      <c r="H10" s="338"/>
      <c r="I10" s="339"/>
      <c r="J10" s="348" t="e">
        <f>IF(AND('MAPA CORRUPCION'!#REF!="Muy Alta",'MAPA CORRUPCION'!#REF!="Leve"),CONCATENATE("R",'MAPA CORRUPCION'!#REF!),"")</f>
        <v>#REF!</v>
      </c>
      <c r="K10" s="345"/>
      <c r="L10" s="343" t="e">
        <f>IF(AND('MAPA CORRUPCION'!#REF!="Muy Alta",'MAPA CORRUPCION'!#REF!="Leve"),CONCATENATE("R",'MAPA CORRUPCION'!#REF!),"")</f>
        <v>#REF!</v>
      </c>
      <c r="M10" s="343"/>
      <c r="N10" s="343" t="e">
        <f>IF(AND('MAPA CORRUPCION'!#REF!="Muy Alta",'MAPA CORRUPCION'!#REF!="Leve"),CONCATENATE("R",'MAPA CORRUPCION'!#REF!),"")</f>
        <v>#REF!</v>
      </c>
      <c r="O10" s="344"/>
      <c r="P10" s="348" t="e">
        <f>IF(AND('MAPA CORRUPCION'!#REF!="Muy Alta",'MAPA CORRUPCION'!#REF!="Menor"),CONCATENATE("R",'MAPA CORRUPCION'!#REF!),"")</f>
        <v>#REF!</v>
      </c>
      <c r="Q10" s="345"/>
      <c r="R10" s="343" t="e">
        <f>IF(AND('MAPA CORRUPCION'!#REF!="Muy Alta",'MAPA CORRUPCION'!#REF!="Menor"),CONCATENATE("R",'MAPA CORRUPCION'!#REF!),"")</f>
        <v>#REF!</v>
      </c>
      <c r="S10" s="343"/>
      <c r="T10" s="343" t="e">
        <f>IF(AND('MAPA CORRUPCION'!#REF!="Muy Alta",'MAPA CORRUPCION'!#REF!="Menor"),CONCATENATE("R",'MAPA CORRUPCION'!#REF!),"")</f>
        <v>#REF!</v>
      </c>
      <c r="U10" s="344"/>
      <c r="V10" s="348" t="e">
        <f>IF(AND('MAPA CORRUPCION'!#REF!="Muy Alta",'MAPA CORRUPCION'!#REF!="Moderado"),CONCATENATE("R",'MAPA CORRUPCION'!#REF!),"")</f>
        <v>#REF!</v>
      </c>
      <c r="W10" s="345"/>
      <c r="X10" s="343" t="e">
        <f>IF(AND('MAPA CORRUPCION'!#REF!="Muy Alta",'MAPA CORRUPCION'!#REF!="Moderado"),CONCATENATE("R",'MAPA CORRUPCION'!#REF!),"")</f>
        <v>#REF!</v>
      </c>
      <c r="Y10" s="343"/>
      <c r="Z10" s="343" t="e">
        <f>IF(AND('MAPA CORRUPCION'!#REF!="Muy Alta",'MAPA CORRUPCION'!#REF!="Moderado"),CONCATENATE("R",'MAPA CORRUPCION'!#REF!),"")</f>
        <v>#REF!</v>
      </c>
      <c r="AA10" s="344"/>
      <c r="AB10" s="348" t="e">
        <f>IF(AND('MAPA CORRUPCION'!#REF!="Muy Alta",'MAPA CORRUPCION'!#REF!="Mayor"),CONCATENATE("R",'MAPA CORRUPCION'!#REF!),"")</f>
        <v>#REF!</v>
      </c>
      <c r="AC10" s="345"/>
      <c r="AD10" s="343" t="e">
        <f>IF(AND('MAPA CORRUPCION'!#REF!="Muy Alta",'MAPA CORRUPCION'!#REF!="Mayor"),CONCATENATE("R",'MAPA CORRUPCION'!#REF!),"")</f>
        <v>#REF!</v>
      </c>
      <c r="AE10" s="343"/>
      <c r="AF10" s="343" t="e">
        <f>IF(AND('MAPA CORRUPCION'!#REF!="Muy Alta",'MAPA CORRUPCION'!#REF!="Mayor"),CONCATENATE("R",'MAPA CORRUPCION'!#REF!),"")</f>
        <v>#REF!</v>
      </c>
      <c r="AG10" s="344"/>
      <c r="AH10" s="356" t="e">
        <f>IF(AND('MAPA CORRUPCION'!#REF!="Muy Alta",'MAPA CORRUPCION'!#REF!="Catastrófico"),CONCATENATE("R",'MAPA CORRUPCION'!#REF!),"")</f>
        <v>#REF!</v>
      </c>
      <c r="AI10" s="357"/>
      <c r="AJ10" s="357" t="e">
        <f>IF(AND('MAPA CORRUPCION'!#REF!="Muy Alta",'MAPA CORRUPCION'!#REF!="Catastrófico"),CONCATENATE("R",'MAPA CORRUPCION'!#REF!),"")</f>
        <v>#REF!</v>
      </c>
      <c r="AK10" s="357"/>
      <c r="AL10" s="357" t="e">
        <f>IF(AND('MAPA CORRUPCION'!#REF!="Muy Alta",'MAPA CORRUPCION'!#REF!="Catastrófico"),CONCATENATE("R",'MAPA CORRUPCION'!#REF!),"")</f>
        <v>#REF!</v>
      </c>
      <c r="AM10" s="358"/>
      <c r="AN10" s="49"/>
      <c r="AO10" s="301"/>
      <c r="AP10" s="302"/>
      <c r="AQ10" s="302"/>
      <c r="AR10" s="302"/>
      <c r="AS10" s="302"/>
      <c r="AT10" s="303"/>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row>
    <row r="11" spans="1:99" ht="15" customHeight="1" x14ac:dyDescent="0.25">
      <c r="A11" s="49"/>
      <c r="B11" s="296"/>
      <c r="C11" s="296"/>
      <c r="D11" s="297"/>
      <c r="E11" s="337"/>
      <c r="F11" s="338"/>
      <c r="G11" s="338"/>
      <c r="H11" s="338"/>
      <c r="I11" s="339"/>
      <c r="J11" s="348"/>
      <c r="K11" s="345"/>
      <c r="L11" s="343"/>
      <c r="M11" s="343"/>
      <c r="N11" s="343"/>
      <c r="O11" s="344"/>
      <c r="P11" s="348"/>
      <c r="Q11" s="345"/>
      <c r="R11" s="343"/>
      <c r="S11" s="343"/>
      <c r="T11" s="343"/>
      <c r="U11" s="344"/>
      <c r="V11" s="348"/>
      <c r="W11" s="345"/>
      <c r="X11" s="343"/>
      <c r="Y11" s="343"/>
      <c r="Z11" s="343"/>
      <c r="AA11" s="344"/>
      <c r="AB11" s="348"/>
      <c r="AC11" s="345"/>
      <c r="AD11" s="343"/>
      <c r="AE11" s="343"/>
      <c r="AF11" s="343"/>
      <c r="AG11" s="344"/>
      <c r="AH11" s="356"/>
      <c r="AI11" s="357"/>
      <c r="AJ11" s="357"/>
      <c r="AK11" s="357"/>
      <c r="AL11" s="357"/>
      <c r="AM11" s="358"/>
      <c r="AN11" s="49"/>
      <c r="AO11" s="301"/>
      <c r="AP11" s="302"/>
      <c r="AQ11" s="302"/>
      <c r="AR11" s="302"/>
      <c r="AS11" s="302"/>
      <c r="AT11" s="303"/>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row>
    <row r="12" spans="1:99" ht="15" customHeight="1" x14ac:dyDescent="0.25">
      <c r="A12" s="49"/>
      <c r="B12" s="296"/>
      <c r="C12" s="296"/>
      <c r="D12" s="297"/>
      <c r="E12" s="337"/>
      <c r="F12" s="338"/>
      <c r="G12" s="338"/>
      <c r="H12" s="338"/>
      <c r="I12" s="339"/>
      <c r="J12" s="348" t="e">
        <f>IF(AND('MAPA CORRUPCION'!#REF!="Muy Alta",'MAPA CORRUPCION'!#REF!="Leve"),CONCATENATE("R",'MAPA CORRUPCION'!#REF!),"")</f>
        <v>#REF!</v>
      </c>
      <c r="K12" s="345"/>
      <c r="L12" s="343" t="e">
        <f>IF(AND('MAPA CORRUPCION'!#REF!="Muy Alta",'MAPA CORRUPCION'!#REF!="Leve"),CONCATENATE("R",'MAPA CORRUPCION'!#REF!),"")</f>
        <v>#REF!</v>
      </c>
      <c r="M12" s="343"/>
      <c r="N12" s="343" t="str">
        <f>IF(AND('MAPA CORRUPCION'!$J$23="Muy Alta",'MAPA CORRUPCION'!$O$23="Leve"),CONCATENATE("R",'MAPA CORRUPCION'!$A$23),"")</f>
        <v/>
      </c>
      <c r="O12" s="344"/>
      <c r="P12" s="348" t="e">
        <f>IF(AND('MAPA CORRUPCION'!#REF!="Muy Alta",'MAPA CORRUPCION'!#REF!="Menor"),CONCATENATE("R",'MAPA CORRUPCION'!#REF!),"")</f>
        <v>#REF!</v>
      </c>
      <c r="Q12" s="345"/>
      <c r="R12" s="343" t="e">
        <f>IF(AND('MAPA CORRUPCION'!#REF!="Muy Alta",'MAPA CORRUPCION'!#REF!="Menor"),CONCATENATE("R",'MAPA CORRUPCION'!#REF!),"")</f>
        <v>#REF!</v>
      </c>
      <c r="S12" s="343"/>
      <c r="T12" s="343" t="str">
        <f>IF(AND('MAPA CORRUPCION'!$J$23="Muy Alta",'MAPA CORRUPCION'!$O$23="Menor"),CONCATENATE("R",'MAPA CORRUPCION'!$A$23),"")</f>
        <v/>
      </c>
      <c r="U12" s="344"/>
      <c r="V12" s="348" t="e">
        <f>IF(AND('MAPA CORRUPCION'!#REF!="Muy Alta",'MAPA CORRUPCION'!#REF!="Moderado"),CONCATENATE("R",'MAPA CORRUPCION'!#REF!),"")</f>
        <v>#REF!</v>
      </c>
      <c r="W12" s="345"/>
      <c r="X12" s="343" t="e">
        <f>IF(AND('MAPA CORRUPCION'!#REF!="Muy Alta",'MAPA CORRUPCION'!#REF!="Moderado"),CONCATENATE("R",'MAPA CORRUPCION'!#REF!),"")</f>
        <v>#REF!</v>
      </c>
      <c r="Y12" s="343"/>
      <c r="Z12" s="343" t="str">
        <f>IF(AND('MAPA CORRUPCION'!$J$23="Muy Alta",'MAPA CORRUPCION'!$O$23="Moderado"),CONCATENATE("R",'MAPA CORRUPCION'!$A$23),"")</f>
        <v/>
      </c>
      <c r="AA12" s="344"/>
      <c r="AB12" s="348" t="e">
        <f>IF(AND('MAPA CORRUPCION'!#REF!="Muy Alta",'MAPA CORRUPCION'!#REF!="Mayor"),CONCATENATE("R",'MAPA CORRUPCION'!#REF!),"")</f>
        <v>#REF!</v>
      </c>
      <c r="AC12" s="345"/>
      <c r="AD12" s="343" t="e">
        <f>IF(AND('MAPA CORRUPCION'!#REF!="Muy Alta",'MAPA CORRUPCION'!#REF!="Mayor"),CONCATENATE("R",'MAPA CORRUPCION'!#REF!),"")</f>
        <v>#REF!</v>
      </c>
      <c r="AE12" s="343"/>
      <c r="AF12" s="343" t="str">
        <f>IF(AND('MAPA CORRUPCION'!$J$23="Muy Alta",'MAPA CORRUPCION'!$O$23="Mayor"),CONCATENATE("R",'MAPA CORRUPCION'!$A$23),"")</f>
        <v/>
      </c>
      <c r="AG12" s="344"/>
      <c r="AH12" s="356" t="e">
        <f>IF(AND('MAPA CORRUPCION'!#REF!="Muy Alta",'MAPA CORRUPCION'!#REF!="Catastrófico"),CONCATENATE("R",'MAPA CORRUPCION'!#REF!),"")</f>
        <v>#REF!</v>
      </c>
      <c r="AI12" s="357"/>
      <c r="AJ12" s="357" t="e">
        <f>IF(AND('MAPA CORRUPCION'!#REF!="Muy Alta",'MAPA CORRUPCION'!#REF!="Catastrófico"),CONCATENATE("R",'MAPA CORRUPCION'!#REF!),"")</f>
        <v>#REF!</v>
      </c>
      <c r="AK12" s="357"/>
      <c r="AL12" s="357" t="str">
        <f>IF(AND('MAPA CORRUPCION'!$J$23="Muy Alta",'MAPA CORRUPCION'!$O$23="Catastrófico"),CONCATENATE("R",'MAPA CORRUPCION'!$A$23),"")</f>
        <v/>
      </c>
      <c r="AM12" s="358"/>
      <c r="AN12" s="49"/>
      <c r="AO12" s="301"/>
      <c r="AP12" s="302"/>
      <c r="AQ12" s="302"/>
      <c r="AR12" s="302"/>
      <c r="AS12" s="302"/>
      <c r="AT12" s="303"/>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row>
    <row r="13" spans="1:99" ht="15.75" customHeight="1" thickBot="1" x14ac:dyDescent="0.3">
      <c r="A13" s="49"/>
      <c r="B13" s="296"/>
      <c r="C13" s="296"/>
      <c r="D13" s="297"/>
      <c r="E13" s="340"/>
      <c r="F13" s="341"/>
      <c r="G13" s="341"/>
      <c r="H13" s="341"/>
      <c r="I13" s="342"/>
      <c r="J13" s="348"/>
      <c r="K13" s="345"/>
      <c r="L13" s="345"/>
      <c r="M13" s="345"/>
      <c r="N13" s="345"/>
      <c r="O13" s="344"/>
      <c r="P13" s="348"/>
      <c r="Q13" s="345"/>
      <c r="R13" s="345"/>
      <c r="S13" s="345"/>
      <c r="T13" s="345"/>
      <c r="U13" s="344"/>
      <c r="V13" s="348"/>
      <c r="W13" s="345"/>
      <c r="X13" s="345"/>
      <c r="Y13" s="345"/>
      <c r="Z13" s="345"/>
      <c r="AA13" s="344"/>
      <c r="AB13" s="348"/>
      <c r="AC13" s="345"/>
      <c r="AD13" s="345"/>
      <c r="AE13" s="345"/>
      <c r="AF13" s="345"/>
      <c r="AG13" s="344"/>
      <c r="AH13" s="359"/>
      <c r="AI13" s="360"/>
      <c r="AJ13" s="360"/>
      <c r="AK13" s="360"/>
      <c r="AL13" s="360"/>
      <c r="AM13" s="361"/>
      <c r="AN13" s="49"/>
      <c r="AO13" s="304"/>
      <c r="AP13" s="305"/>
      <c r="AQ13" s="305"/>
      <c r="AR13" s="305"/>
      <c r="AS13" s="305"/>
      <c r="AT13" s="306"/>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row>
    <row r="14" spans="1:99" ht="15" customHeight="1" x14ac:dyDescent="0.25">
      <c r="A14" s="49"/>
      <c r="B14" s="296"/>
      <c r="C14" s="296"/>
      <c r="D14" s="297"/>
      <c r="E14" s="334" t="s">
        <v>100</v>
      </c>
      <c r="F14" s="335"/>
      <c r="G14" s="335"/>
      <c r="H14" s="335"/>
      <c r="I14" s="335"/>
      <c r="J14" s="371" t="str">
        <f>IF(AND('MAPA CORRUPCION'!$J$5="Alta",'MAPA CORRUPCION'!$O$5="Leve"),CONCATENATE("R",'MAPA CORRUPCION'!$A$5),"")</f>
        <v/>
      </c>
      <c r="K14" s="372"/>
      <c r="L14" s="372" t="str">
        <f>IF(AND('MAPA CORRUPCION'!$J$6="Alta",'MAPA CORRUPCION'!$O$6="Leve"),CONCATENATE("R",'MAPA CORRUPCION'!$A$6),"")</f>
        <v/>
      </c>
      <c r="M14" s="372"/>
      <c r="N14" s="372" t="str">
        <f>IF(AND('MAPA CORRUPCION'!$J$10="Alta",'MAPA CORRUPCION'!$O$10="Leve"),CONCATENATE("R",'MAPA CORRUPCION'!$A$10),"")</f>
        <v/>
      </c>
      <c r="O14" s="373"/>
      <c r="P14" s="371" t="str">
        <f>IF(AND('MAPA CORRUPCION'!$J$5="Alta",'MAPA CORRUPCION'!$O$5="Menor"),CONCATENATE("R",'MAPA CORRUPCION'!$A$5),"")</f>
        <v/>
      </c>
      <c r="Q14" s="372"/>
      <c r="R14" s="372" t="str">
        <f>IF(AND('MAPA CORRUPCION'!$J$6="Alta",'MAPA CORRUPCION'!$O$6="Menor"),CONCATENATE("R",'MAPA CORRUPCION'!$A$6),"")</f>
        <v/>
      </c>
      <c r="S14" s="372"/>
      <c r="T14" s="372" t="str">
        <f>IF(AND('MAPA CORRUPCION'!$J$10="Alta",'MAPA CORRUPCION'!$O$10="Menor"),CONCATENATE("R",'MAPA CORRUPCION'!$A$10),"")</f>
        <v/>
      </c>
      <c r="U14" s="373"/>
      <c r="V14" s="346" t="str">
        <f>IF(AND('MAPA CORRUPCION'!$J$5="Alta",'MAPA CORRUPCION'!$O$5="Moderado"),CONCATENATE("R",'MAPA CORRUPCION'!$A$5),"")</f>
        <v/>
      </c>
      <c r="W14" s="347"/>
      <c r="X14" s="347" t="str">
        <f>IF(AND('MAPA CORRUPCION'!$J$6="Alta",'MAPA CORRUPCION'!$O$6="Moderado"),CONCATENATE("R",'MAPA CORRUPCION'!$A$6),"")</f>
        <v/>
      </c>
      <c r="Y14" s="347"/>
      <c r="Z14" s="347" t="str">
        <f>IF(AND('MAPA CORRUPCION'!$J$10="Alta",'MAPA CORRUPCION'!$O$10="Moderado"),CONCATENATE("R",'MAPA CORRUPCION'!$A$10),"")</f>
        <v/>
      </c>
      <c r="AA14" s="349"/>
      <c r="AB14" s="346" t="str">
        <f>IF(AND('MAPA CORRUPCION'!$J$5="Alta",'MAPA CORRUPCION'!$O$5="Mayor"),CONCATENATE("R",'MAPA CORRUPCION'!$A$5),"")</f>
        <v/>
      </c>
      <c r="AC14" s="347"/>
      <c r="AD14" s="347" t="str">
        <f>IF(AND('MAPA CORRUPCION'!$J$6="Alta",'MAPA CORRUPCION'!$O$6="Mayor"),CONCATENATE("R",'MAPA CORRUPCION'!$A$6),"")</f>
        <v/>
      </c>
      <c r="AE14" s="347"/>
      <c r="AF14" s="347" t="str">
        <f>IF(AND('MAPA CORRUPCION'!$J$10="Alta",'MAPA CORRUPCION'!$O$10="Mayor"),CONCATENATE("R",'MAPA CORRUPCION'!$A$10),"")</f>
        <v/>
      </c>
      <c r="AG14" s="349"/>
      <c r="AH14" s="362" t="str">
        <f>IF(AND('MAPA CORRUPCION'!$J$5="Alta",'MAPA CORRUPCION'!$O$5="Catastrófico"),CONCATENATE("R",'MAPA CORRUPCION'!$A$5),"")</f>
        <v/>
      </c>
      <c r="AI14" s="363"/>
      <c r="AJ14" s="363" t="str">
        <f>IF(AND('MAPA CORRUPCION'!$J$6="Alta",'MAPA CORRUPCION'!$O$6="Catastrófico"),CONCATENATE("R",'MAPA CORRUPCION'!$A$6),"")</f>
        <v/>
      </c>
      <c r="AK14" s="363"/>
      <c r="AL14" s="363" t="str">
        <f>IF(AND('MAPA CORRUPCION'!$J$10="Alta",'MAPA CORRUPCION'!$O$10="Catastrófico"),CONCATENATE("R",'MAPA CORRUPCION'!$A$10),"")</f>
        <v/>
      </c>
      <c r="AM14" s="364"/>
      <c r="AN14" s="49"/>
      <c r="AO14" s="307" t="s">
        <v>69</v>
      </c>
      <c r="AP14" s="308"/>
      <c r="AQ14" s="308"/>
      <c r="AR14" s="308"/>
      <c r="AS14" s="308"/>
      <c r="AT14" s="30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row>
    <row r="15" spans="1:99" ht="15" customHeight="1" x14ac:dyDescent="0.25">
      <c r="A15" s="49"/>
      <c r="B15" s="296"/>
      <c r="C15" s="296"/>
      <c r="D15" s="297"/>
      <c r="E15" s="337"/>
      <c r="F15" s="338"/>
      <c r="G15" s="338"/>
      <c r="H15" s="338"/>
      <c r="I15" s="351"/>
      <c r="J15" s="365"/>
      <c r="K15" s="366"/>
      <c r="L15" s="366"/>
      <c r="M15" s="366"/>
      <c r="N15" s="366"/>
      <c r="O15" s="367"/>
      <c r="P15" s="365"/>
      <c r="Q15" s="366"/>
      <c r="R15" s="366"/>
      <c r="S15" s="366"/>
      <c r="T15" s="366"/>
      <c r="U15" s="367"/>
      <c r="V15" s="348"/>
      <c r="W15" s="345"/>
      <c r="X15" s="345"/>
      <c r="Y15" s="345"/>
      <c r="Z15" s="345"/>
      <c r="AA15" s="344"/>
      <c r="AB15" s="348"/>
      <c r="AC15" s="345"/>
      <c r="AD15" s="345"/>
      <c r="AE15" s="345"/>
      <c r="AF15" s="345"/>
      <c r="AG15" s="344"/>
      <c r="AH15" s="356"/>
      <c r="AI15" s="357"/>
      <c r="AJ15" s="357"/>
      <c r="AK15" s="357"/>
      <c r="AL15" s="357"/>
      <c r="AM15" s="358"/>
      <c r="AN15" s="49"/>
      <c r="AO15" s="310"/>
      <c r="AP15" s="311"/>
      <c r="AQ15" s="311"/>
      <c r="AR15" s="311"/>
      <c r="AS15" s="311"/>
      <c r="AT15" s="312"/>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row>
    <row r="16" spans="1:99" ht="15" customHeight="1" x14ac:dyDescent="0.25">
      <c r="A16" s="49"/>
      <c r="B16" s="296"/>
      <c r="C16" s="296"/>
      <c r="D16" s="297"/>
      <c r="E16" s="337"/>
      <c r="F16" s="338"/>
      <c r="G16" s="338"/>
      <c r="H16" s="338"/>
      <c r="I16" s="351"/>
      <c r="J16" s="365" t="str">
        <f ca="1">IF(AND('MAPA CORRUPCION'!$J$16="Alta",'MAPA CORRUPCION'!$O$16="Leve"),CONCATENATE("R",'MAPA CORRUPCION'!$A$16),"")</f>
        <v/>
      </c>
      <c r="K16" s="366"/>
      <c r="L16" s="366" t="str">
        <f ca="1">IF(AND('MAPA CORRUPCION'!$J$18="Alta",'MAPA CORRUPCION'!$O$18="Leve"),CONCATENATE("R",'MAPA CORRUPCION'!$A$18),"")</f>
        <v/>
      </c>
      <c r="M16" s="366"/>
      <c r="N16" s="366" t="e">
        <f>IF(AND('MAPA CORRUPCION'!#REF!="Alta",'MAPA CORRUPCION'!#REF!="Leve"),CONCATENATE("R",'MAPA CORRUPCION'!#REF!),"")</f>
        <v>#REF!</v>
      </c>
      <c r="O16" s="367"/>
      <c r="P16" s="365" t="str">
        <f ca="1">IF(AND('MAPA CORRUPCION'!$J$16="Alta",'MAPA CORRUPCION'!$O$16="Menor"),CONCATENATE("R",'MAPA CORRUPCION'!$A$16),"")</f>
        <v/>
      </c>
      <c r="Q16" s="366"/>
      <c r="R16" s="366" t="str">
        <f ca="1">IF(AND('MAPA CORRUPCION'!$J$18="Alta",'MAPA CORRUPCION'!$O$18="Menor"),CONCATENATE("R",'MAPA CORRUPCION'!$A$18),"")</f>
        <v/>
      </c>
      <c r="S16" s="366"/>
      <c r="T16" s="366" t="e">
        <f>IF(AND('MAPA CORRUPCION'!#REF!="Alta",'MAPA CORRUPCION'!#REF!="Menor"),CONCATENATE("R",'MAPA CORRUPCION'!#REF!),"")</f>
        <v>#REF!</v>
      </c>
      <c r="U16" s="367"/>
      <c r="V16" s="348" t="str">
        <f ca="1">IF(AND('MAPA CORRUPCION'!$J$16="Alta",'MAPA CORRUPCION'!$O$16="Moderado"),CONCATENATE("R",'MAPA CORRUPCION'!$A$16),"")</f>
        <v/>
      </c>
      <c r="W16" s="345"/>
      <c r="X16" s="343" t="str">
        <f ca="1">IF(AND('MAPA CORRUPCION'!$J$18="Alta",'MAPA CORRUPCION'!$O$18="Moderado"),CONCATENATE("R",'MAPA CORRUPCION'!$A$18),"")</f>
        <v/>
      </c>
      <c r="Y16" s="343"/>
      <c r="Z16" s="343" t="e">
        <f>IF(AND('MAPA CORRUPCION'!#REF!="Alta",'MAPA CORRUPCION'!#REF!="Moderado"),CONCATENATE("R",'MAPA CORRUPCION'!#REF!),"")</f>
        <v>#REF!</v>
      </c>
      <c r="AA16" s="344"/>
      <c r="AB16" s="348" t="str">
        <f ca="1">IF(AND('MAPA CORRUPCION'!$J$16="Alta",'MAPA CORRUPCION'!$O$16="Mayor"),CONCATENATE("R",'MAPA CORRUPCION'!$A$16),"")</f>
        <v/>
      </c>
      <c r="AC16" s="345"/>
      <c r="AD16" s="343" t="str">
        <f ca="1">IF(AND('MAPA CORRUPCION'!$J$18="Alta",'MAPA CORRUPCION'!$O$18="Mayor"),CONCATENATE("R",'MAPA CORRUPCION'!$A$18),"")</f>
        <v/>
      </c>
      <c r="AE16" s="343"/>
      <c r="AF16" s="343" t="e">
        <f>IF(AND('MAPA CORRUPCION'!#REF!="Alta",'MAPA CORRUPCION'!#REF!="Mayor"),CONCATENATE("R",'MAPA CORRUPCION'!#REF!),"")</f>
        <v>#REF!</v>
      </c>
      <c r="AG16" s="344"/>
      <c r="AH16" s="356" t="str">
        <f ca="1">IF(AND('MAPA CORRUPCION'!$J$16="Alta",'MAPA CORRUPCION'!$O$16="Catastrófico"),CONCATENATE("R",'MAPA CORRUPCION'!$A$16),"")</f>
        <v/>
      </c>
      <c r="AI16" s="357"/>
      <c r="AJ16" s="357" t="str">
        <f ca="1">IF(AND('MAPA CORRUPCION'!$J$18="Alta",'MAPA CORRUPCION'!$O$18="Catastrófico"),CONCATENATE("R",'MAPA CORRUPCION'!$A$18),"")</f>
        <v/>
      </c>
      <c r="AK16" s="357"/>
      <c r="AL16" s="357" t="e">
        <f>IF(AND('MAPA CORRUPCION'!#REF!="Alta",'MAPA CORRUPCION'!#REF!="Catastrófico"),CONCATENATE("R",'MAPA CORRUPCION'!#REF!),"")</f>
        <v>#REF!</v>
      </c>
      <c r="AM16" s="358"/>
      <c r="AN16" s="49"/>
      <c r="AO16" s="310"/>
      <c r="AP16" s="311"/>
      <c r="AQ16" s="311"/>
      <c r="AR16" s="311"/>
      <c r="AS16" s="311"/>
      <c r="AT16" s="312"/>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row>
    <row r="17" spans="1:80" ht="15" customHeight="1" x14ac:dyDescent="0.25">
      <c r="A17" s="49"/>
      <c r="B17" s="296"/>
      <c r="C17" s="296"/>
      <c r="D17" s="297"/>
      <c r="E17" s="337"/>
      <c r="F17" s="338"/>
      <c r="G17" s="338"/>
      <c r="H17" s="338"/>
      <c r="I17" s="351"/>
      <c r="J17" s="365"/>
      <c r="K17" s="366"/>
      <c r="L17" s="366"/>
      <c r="M17" s="366"/>
      <c r="N17" s="366"/>
      <c r="O17" s="367"/>
      <c r="P17" s="365"/>
      <c r="Q17" s="366"/>
      <c r="R17" s="366"/>
      <c r="S17" s="366"/>
      <c r="T17" s="366"/>
      <c r="U17" s="367"/>
      <c r="V17" s="348"/>
      <c r="W17" s="345"/>
      <c r="X17" s="343"/>
      <c r="Y17" s="343"/>
      <c r="Z17" s="343"/>
      <c r="AA17" s="344"/>
      <c r="AB17" s="348"/>
      <c r="AC17" s="345"/>
      <c r="AD17" s="343"/>
      <c r="AE17" s="343"/>
      <c r="AF17" s="343"/>
      <c r="AG17" s="344"/>
      <c r="AH17" s="356"/>
      <c r="AI17" s="357"/>
      <c r="AJ17" s="357"/>
      <c r="AK17" s="357"/>
      <c r="AL17" s="357"/>
      <c r="AM17" s="358"/>
      <c r="AN17" s="49"/>
      <c r="AO17" s="310"/>
      <c r="AP17" s="311"/>
      <c r="AQ17" s="311"/>
      <c r="AR17" s="311"/>
      <c r="AS17" s="311"/>
      <c r="AT17" s="312"/>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row>
    <row r="18" spans="1:80" ht="15" customHeight="1" x14ac:dyDescent="0.25">
      <c r="A18" s="49"/>
      <c r="B18" s="296"/>
      <c r="C18" s="296"/>
      <c r="D18" s="297"/>
      <c r="E18" s="337"/>
      <c r="F18" s="338"/>
      <c r="G18" s="338"/>
      <c r="H18" s="338"/>
      <c r="I18" s="351"/>
      <c r="J18" s="365" t="e">
        <f>IF(AND('MAPA CORRUPCION'!#REF!="Alta",'MAPA CORRUPCION'!#REF!="Leve"),CONCATENATE("R",'MAPA CORRUPCION'!#REF!),"")</f>
        <v>#REF!</v>
      </c>
      <c r="K18" s="366"/>
      <c r="L18" s="366" t="e">
        <f>IF(AND('MAPA CORRUPCION'!#REF!="Alta",'MAPA CORRUPCION'!#REF!="Leve"),CONCATENATE("R",'MAPA CORRUPCION'!#REF!),"")</f>
        <v>#REF!</v>
      </c>
      <c r="M18" s="366"/>
      <c r="N18" s="366" t="e">
        <f>IF(AND('MAPA CORRUPCION'!#REF!="Alta",'MAPA CORRUPCION'!#REF!="Leve"),CONCATENATE("R",'MAPA CORRUPCION'!#REF!),"")</f>
        <v>#REF!</v>
      </c>
      <c r="O18" s="367"/>
      <c r="P18" s="365" t="e">
        <f>IF(AND('MAPA CORRUPCION'!#REF!="Alta",'MAPA CORRUPCION'!#REF!="Menor"),CONCATENATE("R",'MAPA CORRUPCION'!#REF!),"")</f>
        <v>#REF!</v>
      </c>
      <c r="Q18" s="366"/>
      <c r="R18" s="366" t="e">
        <f>IF(AND('MAPA CORRUPCION'!#REF!="Alta",'MAPA CORRUPCION'!#REF!="Menor"),CONCATENATE("R",'MAPA CORRUPCION'!#REF!),"")</f>
        <v>#REF!</v>
      </c>
      <c r="S18" s="366"/>
      <c r="T18" s="366" t="e">
        <f>IF(AND('MAPA CORRUPCION'!#REF!="Alta",'MAPA CORRUPCION'!#REF!="Menor"),CONCATENATE("R",'MAPA CORRUPCION'!#REF!),"")</f>
        <v>#REF!</v>
      </c>
      <c r="U18" s="367"/>
      <c r="V18" s="348" t="e">
        <f>IF(AND('MAPA CORRUPCION'!#REF!="Alta",'MAPA CORRUPCION'!#REF!="Moderado"),CONCATENATE("R",'MAPA CORRUPCION'!#REF!),"")</f>
        <v>#REF!</v>
      </c>
      <c r="W18" s="345"/>
      <c r="X18" s="343" t="e">
        <f>IF(AND('MAPA CORRUPCION'!#REF!="Alta",'MAPA CORRUPCION'!#REF!="Moderado"),CONCATENATE("R",'MAPA CORRUPCION'!#REF!),"")</f>
        <v>#REF!</v>
      </c>
      <c r="Y18" s="343"/>
      <c r="Z18" s="343" t="e">
        <f>IF(AND('MAPA CORRUPCION'!#REF!="Alta",'MAPA CORRUPCION'!#REF!="Moderado"),CONCATENATE("R",'MAPA CORRUPCION'!#REF!),"")</f>
        <v>#REF!</v>
      </c>
      <c r="AA18" s="344"/>
      <c r="AB18" s="348" t="e">
        <f>IF(AND('MAPA CORRUPCION'!#REF!="Alta",'MAPA CORRUPCION'!#REF!="Mayor"),CONCATENATE("R",'MAPA CORRUPCION'!#REF!),"")</f>
        <v>#REF!</v>
      </c>
      <c r="AC18" s="345"/>
      <c r="AD18" s="343" t="e">
        <f>IF(AND('MAPA CORRUPCION'!#REF!="Alta",'MAPA CORRUPCION'!#REF!="Mayor"),CONCATENATE("R",'MAPA CORRUPCION'!#REF!),"")</f>
        <v>#REF!</v>
      </c>
      <c r="AE18" s="343"/>
      <c r="AF18" s="343" t="e">
        <f>IF(AND('MAPA CORRUPCION'!#REF!="Alta",'MAPA CORRUPCION'!#REF!="Mayor"),CONCATENATE("R",'MAPA CORRUPCION'!#REF!),"")</f>
        <v>#REF!</v>
      </c>
      <c r="AG18" s="344"/>
      <c r="AH18" s="356" t="e">
        <f>IF(AND('MAPA CORRUPCION'!#REF!="Alta",'MAPA CORRUPCION'!#REF!="Catastrófico"),CONCATENATE("R",'MAPA CORRUPCION'!#REF!),"")</f>
        <v>#REF!</v>
      </c>
      <c r="AI18" s="357"/>
      <c r="AJ18" s="357" t="e">
        <f>IF(AND('MAPA CORRUPCION'!#REF!="Alta",'MAPA CORRUPCION'!#REF!="Catastrófico"),CONCATENATE("R",'MAPA CORRUPCION'!#REF!),"")</f>
        <v>#REF!</v>
      </c>
      <c r="AK18" s="357"/>
      <c r="AL18" s="357" t="e">
        <f>IF(AND('MAPA CORRUPCION'!#REF!="Alta",'MAPA CORRUPCION'!#REF!="Catastrófico"),CONCATENATE("R",'MAPA CORRUPCION'!#REF!),"")</f>
        <v>#REF!</v>
      </c>
      <c r="AM18" s="358"/>
      <c r="AN18" s="49"/>
      <c r="AO18" s="310"/>
      <c r="AP18" s="311"/>
      <c r="AQ18" s="311"/>
      <c r="AR18" s="311"/>
      <c r="AS18" s="311"/>
      <c r="AT18" s="312"/>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row>
    <row r="19" spans="1:80" ht="15" customHeight="1" x14ac:dyDescent="0.25">
      <c r="A19" s="49"/>
      <c r="B19" s="296"/>
      <c r="C19" s="296"/>
      <c r="D19" s="297"/>
      <c r="E19" s="337"/>
      <c r="F19" s="338"/>
      <c r="G19" s="338"/>
      <c r="H19" s="338"/>
      <c r="I19" s="351"/>
      <c r="J19" s="365"/>
      <c r="K19" s="366"/>
      <c r="L19" s="366"/>
      <c r="M19" s="366"/>
      <c r="N19" s="366"/>
      <c r="O19" s="367"/>
      <c r="P19" s="365"/>
      <c r="Q19" s="366"/>
      <c r="R19" s="366"/>
      <c r="S19" s="366"/>
      <c r="T19" s="366"/>
      <c r="U19" s="367"/>
      <c r="V19" s="348"/>
      <c r="W19" s="345"/>
      <c r="X19" s="343"/>
      <c r="Y19" s="343"/>
      <c r="Z19" s="343"/>
      <c r="AA19" s="344"/>
      <c r="AB19" s="348"/>
      <c r="AC19" s="345"/>
      <c r="AD19" s="343"/>
      <c r="AE19" s="343"/>
      <c r="AF19" s="343"/>
      <c r="AG19" s="344"/>
      <c r="AH19" s="356"/>
      <c r="AI19" s="357"/>
      <c r="AJ19" s="357"/>
      <c r="AK19" s="357"/>
      <c r="AL19" s="357"/>
      <c r="AM19" s="358"/>
      <c r="AN19" s="49"/>
      <c r="AO19" s="310"/>
      <c r="AP19" s="311"/>
      <c r="AQ19" s="311"/>
      <c r="AR19" s="311"/>
      <c r="AS19" s="311"/>
      <c r="AT19" s="312"/>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row>
    <row r="20" spans="1:80" ht="15" customHeight="1" x14ac:dyDescent="0.25">
      <c r="A20" s="49"/>
      <c r="B20" s="296"/>
      <c r="C20" s="296"/>
      <c r="D20" s="297"/>
      <c r="E20" s="337"/>
      <c r="F20" s="338"/>
      <c r="G20" s="338"/>
      <c r="H20" s="338"/>
      <c r="I20" s="351"/>
      <c r="J20" s="365" t="e">
        <f>IF(AND('MAPA CORRUPCION'!#REF!="Alta",'MAPA CORRUPCION'!#REF!="Leve"),CONCATENATE("R",'MAPA CORRUPCION'!#REF!),"")</f>
        <v>#REF!</v>
      </c>
      <c r="K20" s="366"/>
      <c r="L20" s="366" t="e">
        <f>IF(AND('MAPA CORRUPCION'!#REF!="Alta",'MAPA CORRUPCION'!#REF!="Leve"),CONCATENATE("R",'MAPA CORRUPCION'!#REF!),"")</f>
        <v>#REF!</v>
      </c>
      <c r="M20" s="366"/>
      <c r="N20" s="366" t="str">
        <f>IF(AND('MAPA CORRUPCION'!$J$23="Alta",'MAPA CORRUPCION'!$O$23="Leve"),CONCATENATE("R",'MAPA CORRUPCION'!$A$23),"")</f>
        <v/>
      </c>
      <c r="O20" s="367"/>
      <c r="P20" s="365" t="e">
        <f>IF(AND('MAPA CORRUPCION'!#REF!="Alta",'MAPA CORRUPCION'!#REF!="Menor"),CONCATENATE("R",'MAPA CORRUPCION'!#REF!),"")</f>
        <v>#REF!</v>
      </c>
      <c r="Q20" s="366"/>
      <c r="R20" s="366" t="e">
        <f>IF(AND('MAPA CORRUPCION'!#REF!="Alta",'MAPA CORRUPCION'!#REF!="Menor"),CONCATENATE("R",'MAPA CORRUPCION'!#REF!),"")</f>
        <v>#REF!</v>
      </c>
      <c r="S20" s="366"/>
      <c r="T20" s="366" t="str">
        <f>IF(AND('MAPA CORRUPCION'!$J$23="Alta",'MAPA CORRUPCION'!$O$23="Menor"),CONCATENATE("R",'MAPA CORRUPCION'!$A$23),"")</f>
        <v/>
      </c>
      <c r="U20" s="367"/>
      <c r="V20" s="348" t="e">
        <f>IF(AND('MAPA CORRUPCION'!#REF!="Alta",'MAPA CORRUPCION'!#REF!="Moderado"),CONCATENATE("R",'MAPA CORRUPCION'!#REF!),"")</f>
        <v>#REF!</v>
      </c>
      <c r="W20" s="345"/>
      <c r="X20" s="343" t="e">
        <f>IF(AND('MAPA CORRUPCION'!#REF!="Alta",'MAPA CORRUPCION'!#REF!="Moderado"),CONCATENATE("R",'MAPA CORRUPCION'!#REF!),"")</f>
        <v>#REF!</v>
      </c>
      <c r="Y20" s="343"/>
      <c r="Z20" s="343" t="str">
        <f>IF(AND('MAPA CORRUPCION'!$J$23="Alta",'MAPA CORRUPCION'!$O$23="Moderado"),CONCATENATE("R",'MAPA CORRUPCION'!$A$23),"")</f>
        <v/>
      </c>
      <c r="AA20" s="344"/>
      <c r="AB20" s="348" t="e">
        <f>IF(AND('MAPA CORRUPCION'!#REF!="Alta",'MAPA CORRUPCION'!#REF!="Mayor"),CONCATENATE("R",'MAPA CORRUPCION'!#REF!),"")</f>
        <v>#REF!</v>
      </c>
      <c r="AC20" s="345"/>
      <c r="AD20" s="343" t="e">
        <f>IF(AND('MAPA CORRUPCION'!#REF!="Alta",'MAPA CORRUPCION'!#REF!="Mayor"),CONCATENATE("R",'MAPA CORRUPCION'!#REF!),"")</f>
        <v>#REF!</v>
      </c>
      <c r="AE20" s="343"/>
      <c r="AF20" s="343" t="str">
        <f>IF(AND('MAPA CORRUPCION'!$J$23="Alta",'MAPA CORRUPCION'!$O$23="Mayor"),CONCATENATE("R",'MAPA CORRUPCION'!$A$23),"")</f>
        <v/>
      </c>
      <c r="AG20" s="344"/>
      <c r="AH20" s="356" t="e">
        <f>IF(AND('MAPA CORRUPCION'!#REF!="Alta",'MAPA CORRUPCION'!#REF!="Catastrófico"),CONCATENATE("R",'MAPA CORRUPCION'!#REF!),"")</f>
        <v>#REF!</v>
      </c>
      <c r="AI20" s="357"/>
      <c r="AJ20" s="357" t="e">
        <f>IF(AND('MAPA CORRUPCION'!#REF!="Alta",'MAPA CORRUPCION'!#REF!="Catastrófico"),CONCATENATE("R",'MAPA CORRUPCION'!#REF!),"")</f>
        <v>#REF!</v>
      </c>
      <c r="AK20" s="357"/>
      <c r="AL20" s="357" t="str">
        <f>IF(AND('MAPA CORRUPCION'!$J$23="Alta",'MAPA CORRUPCION'!$O$23="Catastrófico"),CONCATENATE("R",'MAPA CORRUPCION'!$A$23),"")</f>
        <v/>
      </c>
      <c r="AM20" s="358"/>
      <c r="AN20" s="49"/>
      <c r="AO20" s="310"/>
      <c r="AP20" s="311"/>
      <c r="AQ20" s="311"/>
      <c r="AR20" s="311"/>
      <c r="AS20" s="311"/>
      <c r="AT20" s="312"/>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row>
    <row r="21" spans="1:80" ht="15.75" customHeight="1" thickBot="1" x14ac:dyDescent="0.3">
      <c r="A21" s="49"/>
      <c r="B21" s="296"/>
      <c r="C21" s="296"/>
      <c r="D21" s="297"/>
      <c r="E21" s="340"/>
      <c r="F21" s="341"/>
      <c r="G21" s="341"/>
      <c r="H21" s="341"/>
      <c r="I21" s="341"/>
      <c r="J21" s="368"/>
      <c r="K21" s="369"/>
      <c r="L21" s="369"/>
      <c r="M21" s="369"/>
      <c r="N21" s="369"/>
      <c r="O21" s="370"/>
      <c r="P21" s="368"/>
      <c r="Q21" s="369"/>
      <c r="R21" s="369"/>
      <c r="S21" s="369"/>
      <c r="T21" s="369"/>
      <c r="U21" s="370"/>
      <c r="V21" s="353"/>
      <c r="W21" s="354"/>
      <c r="X21" s="354"/>
      <c r="Y21" s="354"/>
      <c r="Z21" s="354"/>
      <c r="AA21" s="355"/>
      <c r="AB21" s="353"/>
      <c r="AC21" s="354"/>
      <c r="AD21" s="354"/>
      <c r="AE21" s="354"/>
      <c r="AF21" s="354"/>
      <c r="AG21" s="355"/>
      <c r="AH21" s="359"/>
      <c r="AI21" s="360"/>
      <c r="AJ21" s="360"/>
      <c r="AK21" s="360"/>
      <c r="AL21" s="360"/>
      <c r="AM21" s="361"/>
      <c r="AN21" s="49"/>
      <c r="AO21" s="313"/>
      <c r="AP21" s="314"/>
      <c r="AQ21" s="314"/>
      <c r="AR21" s="314"/>
      <c r="AS21" s="314"/>
      <c r="AT21" s="315"/>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row>
    <row r="22" spans="1:80" x14ac:dyDescent="0.25">
      <c r="A22" s="49"/>
      <c r="B22" s="296"/>
      <c r="C22" s="296"/>
      <c r="D22" s="297"/>
      <c r="E22" s="334" t="s">
        <v>102</v>
      </c>
      <c r="F22" s="335"/>
      <c r="G22" s="335"/>
      <c r="H22" s="335"/>
      <c r="I22" s="336"/>
      <c r="J22" s="371" t="str">
        <f>IF(AND('MAPA CORRUPCION'!$J$5="Media",'MAPA CORRUPCION'!$O$5="Leve"),CONCATENATE("R",'MAPA CORRUPCION'!$A$5),"")</f>
        <v>R1</v>
      </c>
      <c r="K22" s="372"/>
      <c r="L22" s="372" t="str">
        <f>IF(AND('MAPA CORRUPCION'!$J$6="Media",'MAPA CORRUPCION'!$O$6="Leve"),CONCATENATE("R",'MAPA CORRUPCION'!$A$6),"")</f>
        <v/>
      </c>
      <c r="M22" s="372"/>
      <c r="N22" s="372" t="str">
        <f>IF(AND('MAPA CORRUPCION'!$J$10="Media",'MAPA CORRUPCION'!$O$10="Leve"),CONCATENATE("R",'MAPA CORRUPCION'!$A$10),"")</f>
        <v/>
      </c>
      <c r="O22" s="373"/>
      <c r="P22" s="371" t="str">
        <f>IF(AND('MAPA CORRUPCION'!$J$5="Media",'MAPA CORRUPCION'!$O$5="Menor"),CONCATENATE("R",'MAPA CORRUPCION'!$A$5),"")</f>
        <v/>
      </c>
      <c r="Q22" s="372"/>
      <c r="R22" s="372" t="str">
        <f>IF(AND('MAPA CORRUPCION'!$J$6="Media",'MAPA CORRUPCION'!$O$6="Menor"),CONCATENATE("R",'MAPA CORRUPCION'!$A$6),"")</f>
        <v/>
      </c>
      <c r="S22" s="372"/>
      <c r="T22" s="372" t="str">
        <f>IF(AND('MAPA CORRUPCION'!$J$10="Media",'MAPA CORRUPCION'!$O$10="Menor"),CONCATENATE("R",'MAPA CORRUPCION'!$A$10),"")</f>
        <v/>
      </c>
      <c r="U22" s="373"/>
      <c r="V22" s="371" t="str">
        <f>IF(AND('MAPA CORRUPCION'!$J$5="Media",'MAPA CORRUPCION'!$O$5="Moderado"),CONCATENATE("R",'MAPA CORRUPCION'!$A$5),"")</f>
        <v/>
      </c>
      <c r="W22" s="372"/>
      <c r="X22" s="372" t="str">
        <f>IF(AND('MAPA CORRUPCION'!$J$6="Media",'MAPA CORRUPCION'!$O$6="Moderado"),CONCATENATE("R",'MAPA CORRUPCION'!$A$6),"")</f>
        <v/>
      </c>
      <c r="Y22" s="372"/>
      <c r="Z22" s="372" t="str">
        <f>IF(AND('MAPA CORRUPCION'!$J$10="Media",'MAPA CORRUPCION'!$O$10="Moderado"),CONCATENATE("R",'MAPA CORRUPCION'!$A$10),"")</f>
        <v>R3</v>
      </c>
      <c r="AA22" s="373"/>
      <c r="AB22" s="346" t="str">
        <f>IF(AND('MAPA CORRUPCION'!$J$5="Media",'MAPA CORRUPCION'!$O$5="Mayor"),CONCATENATE("R",'MAPA CORRUPCION'!$A$5),"")</f>
        <v/>
      </c>
      <c r="AC22" s="347"/>
      <c r="AD22" s="347" t="str">
        <f>IF(AND('MAPA CORRUPCION'!$J$6="Media",'MAPA CORRUPCION'!$O$6="Mayor"),CONCATENATE("R",'MAPA CORRUPCION'!$A$6),"")</f>
        <v/>
      </c>
      <c r="AE22" s="347"/>
      <c r="AF22" s="347" t="str">
        <f>IF(AND('MAPA CORRUPCION'!$J$10="Media",'MAPA CORRUPCION'!$O$10="Mayor"),CONCATENATE("R",'MAPA CORRUPCION'!$A$10),"")</f>
        <v/>
      </c>
      <c r="AG22" s="349"/>
      <c r="AH22" s="362" t="str">
        <f>IF(AND('MAPA CORRUPCION'!$J$5="Media",'MAPA CORRUPCION'!$O$5="Catastrófico"),CONCATENATE("R",'MAPA CORRUPCION'!$A$5),"")</f>
        <v/>
      </c>
      <c r="AI22" s="363"/>
      <c r="AJ22" s="363" t="str">
        <f>IF(AND('MAPA CORRUPCION'!$J$6="Media",'MAPA CORRUPCION'!$O$6="Catastrófico"),CONCATENATE("R",'MAPA CORRUPCION'!$A$6),"")</f>
        <v/>
      </c>
      <c r="AK22" s="363"/>
      <c r="AL22" s="363" t="str">
        <f>IF(AND('MAPA CORRUPCION'!$J$10="Media",'MAPA CORRUPCION'!$O$10="Catastrófico"),CONCATENATE("R",'MAPA CORRUPCION'!$A$10),"")</f>
        <v/>
      </c>
      <c r="AM22" s="364"/>
      <c r="AN22" s="49"/>
      <c r="AO22" s="316" t="s">
        <v>70</v>
      </c>
      <c r="AP22" s="317"/>
      <c r="AQ22" s="317"/>
      <c r="AR22" s="317"/>
      <c r="AS22" s="317"/>
      <c r="AT22" s="318"/>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row>
    <row r="23" spans="1:80" x14ac:dyDescent="0.25">
      <c r="A23" s="49"/>
      <c r="B23" s="296"/>
      <c r="C23" s="296"/>
      <c r="D23" s="297"/>
      <c r="E23" s="337"/>
      <c r="F23" s="338"/>
      <c r="G23" s="338"/>
      <c r="H23" s="338"/>
      <c r="I23" s="339"/>
      <c r="J23" s="365"/>
      <c r="K23" s="366"/>
      <c r="L23" s="366"/>
      <c r="M23" s="366"/>
      <c r="N23" s="366"/>
      <c r="O23" s="367"/>
      <c r="P23" s="365"/>
      <c r="Q23" s="366"/>
      <c r="R23" s="366"/>
      <c r="S23" s="366"/>
      <c r="T23" s="366"/>
      <c r="U23" s="367"/>
      <c r="V23" s="365"/>
      <c r="W23" s="366"/>
      <c r="X23" s="366"/>
      <c r="Y23" s="366"/>
      <c r="Z23" s="366"/>
      <c r="AA23" s="367"/>
      <c r="AB23" s="348"/>
      <c r="AC23" s="345"/>
      <c r="AD23" s="345"/>
      <c r="AE23" s="345"/>
      <c r="AF23" s="345"/>
      <c r="AG23" s="344"/>
      <c r="AH23" s="356"/>
      <c r="AI23" s="357"/>
      <c r="AJ23" s="357"/>
      <c r="AK23" s="357"/>
      <c r="AL23" s="357"/>
      <c r="AM23" s="358"/>
      <c r="AN23" s="49"/>
      <c r="AO23" s="319"/>
      <c r="AP23" s="320"/>
      <c r="AQ23" s="320"/>
      <c r="AR23" s="320"/>
      <c r="AS23" s="320"/>
      <c r="AT23" s="321"/>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row>
    <row r="24" spans="1:80" x14ac:dyDescent="0.25">
      <c r="A24" s="49"/>
      <c r="B24" s="296"/>
      <c r="C24" s="296"/>
      <c r="D24" s="297"/>
      <c r="E24" s="337"/>
      <c r="F24" s="338"/>
      <c r="G24" s="338"/>
      <c r="H24" s="338"/>
      <c r="I24" s="339"/>
      <c r="J24" s="365" t="str">
        <f ca="1">IF(AND('MAPA CORRUPCION'!$J$16="Media",'MAPA CORRUPCION'!$O$16="Leve"),CONCATENATE("R",'MAPA CORRUPCION'!$A$16),"")</f>
        <v/>
      </c>
      <c r="K24" s="366"/>
      <c r="L24" s="366" t="str">
        <f ca="1">IF(AND('MAPA CORRUPCION'!$J$18="Media",'MAPA CORRUPCION'!$O$18="Leve"),CONCATENATE("R",'MAPA CORRUPCION'!$A$18),"")</f>
        <v/>
      </c>
      <c r="M24" s="366"/>
      <c r="N24" s="366" t="e">
        <f>IF(AND('MAPA CORRUPCION'!#REF!="Media",'MAPA CORRUPCION'!#REF!="Leve"),CONCATENATE("R",'MAPA CORRUPCION'!#REF!),"")</f>
        <v>#REF!</v>
      </c>
      <c r="O24" s="367"/>
      <c r="P24" s="365" t="str">
        <f ca="1">IF(AND('MAPA CORRUPCION'!$J$16="Media",'MAPA CORRUPCION'!$O$16="Menor"),CONCATENATE("R",'MAPA CORRUPCION'!$A$16),"")</f>
        <v/>
      </c>
      <c r="Q24" s="366"/>
      <c r="R24" s="366" t="str">
        <f ca="1">IF(AND('MAPA CORRUPCION'!$J$18="Media",'MAPA CORRUPCION'!$O$18="Menor"),CONCATENATE("R",'MAPA CORRUPCION'!$A$18),"")</f>
        <v>R7</v>
      </c>
      <c r="S24" s="366"/>
      <c r="T24" s="366" t="e">
        <f>IF(AND('MAPA CORRUPCION'!#REF!="Media",'MAPA CORRUPCION'!#REF!="Menor"),CONCATENATE("R",'MAPA CORRUPCION'!#REF!),"")</f>
        <v>#REF!</v>
      </c>
      <c r="U24" s="367"/>
      <c r="V24" s="365" t="str">
        <f ca="1">IF(AND('MAPA CORRUPCION'!$J$16="Media",'MAPA CORRUPCION'!$O$16="Moderado"),CONCATENATE("R",'MAPA CORRUPCION'!$A$16),"")</f>
        <v/>
      </c>
      <c r="W24" s="366"/>
      <c r="X24" s="366" t="str">
        <f ca="1">IF(AND('MAPA CORRUPCION'!$J$18="Media",'MAPA CORRUPCION'!$O$18="Moderado"),CONCATENATE("R",'MAPA CORRUPCION'!$A$18),"")</f>
        <v/>
      </c>
      <c r="Y24" s="366"/>
      <c r="Z24" s="366" t="e">
        <f>IF(AND('MAPA CORRUPCION'!#REF!="Media",'MAPA CORRUPCION'!#REF!="Moderado"),CONCATENATE("R",'MAPA CORRUPCION'!#REF!),"")</f>
        <v>#REF!</v>
      </c>
      <c r="AA24" s="367"/>
      <c r="AB24" s="348" t="str">
        <f ca="1">IF(AND('MAPA CORRUPCION'!$J$16="Media",'MAPA CORRUPCION'!$O$16="Mayor"),CONCATENATE("R",'MAPA CORRUPCION'!$A$16),"")</f>
        <v>R6</v>
      </c>
      <c r="AC24" s="345"/>
      <c r="AD24" s="343" t="str">
        <f ca="1">IF(AND('MAPA CORRUPCION'!$J$18="Media",'MAPA CORRUPCION'!$O$18="Mayor"),CONCATENATE("R",'MAPA CORRUPCION'!$A$18),"")</f>
        <v/>
      </c>
      <c r="AE24" s="343"/>
      <c r="AF24" s="343" t="e">
        <f>IF(AND('MAPA CORRUPCION'!#REF!="Media",'MAPA CORRUPCION'!#REF!="Mayor"),CONCATENATE("R",'MAPA CORRUPCION'!#REF!),"")</f>
        <v>#REF!</v>
      </c>
      <c r="AG24" s="344"/>
      <c r="AH24" s="356" t="str">
        <f ca="1">IF(AND('MAPA CORRUPCION'!$J$16="Media",'MAPA CORRUPCION'!$O$16="Catastrófico"),CONCATENATE("R",'MAPA CORRUPCION'!$A$16),"")</f>
        <v/>
      </c>
      <c r="AI24" s="357"/>
      <c r="AJ24" s="357" t="str">
        <f ca="1">IF(AND('MAPA CORRUPCION'!$J$18="Media",'MAPA CORRUPCION'!$O$18="Catastrófico"),CONCATENATE("R",'MAPA CORRUPCION'!$A$18),"")</f>
        <v/>
      </c>
      <c r="AK24" s="357"/>
      <c r="AL24" s="357" t="e">
        <f>IF(AND('MAPA CORRUPCION'!#REF!="Media",'MAPA CORRUPCION'!#REF!="Catastrófico"),CONCATENATE("R",'MAPA CORRUPCION'!#REF!),"")</f>
        <v>#REF!</v>
      </c>
      <c r="AM24" s="358"/>
      <c r="AN24" s="49"/>
      <c r="AO24" s="319"/>
      <c r="AP24" s="320"/>
      <c r="AQ24" s="320"/>
      <c r="AR24" s="320"/>
      <c r="AS24" s="320"/>
      <c r="AT24" s="321"/>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row>
    <row r="25" spans="1:80" x14ac:dyDescent="0.25">
      <c r="A25" s="49"/>
      <c r="B25" s="296"/>
      <c r="C25" s="296"/>
      <c r="D25" s="297"/>
      <c r="E25" s="337"/>
      <c r="F25" s="338"/>
      <c r="G25" s="338"/>
      <c r="H25" s="338"/>
      <c r="I25" s="339"/>
      <c r="J25" s="365"/>
      <c r="K25" s="366"/>
      <c r="L25" s="366"/>
      <c r="M25" s="366"/>
      <c r="N25" s="366"/>
      <c r="O25" s="367"/>
      <c r="P25" s="365"/>
      <c r="Q25" s="366"/>
      <c r="R25" s="366"/>
      <c r="S25" s="366"/>
      <c r="T25" s="366"/>
      <c r="U25" s="367"/>
      <c r="V25" s="365"/>
      <c r="W25" s="366"/>
      <c r="X25" s="366"/>
      <c r="Y25" s="366"/>
      <c r="Z25" s="366"/>
      <c r="AA25" s="367"/>
      <c r="AB25" s="348"/>
      <c r="AC25" s="345"/>
      <c r="AD25" s="343"/>
      <c r="AE25" s="343"/>
      <c r="AF25" s="343"/>
      <c r="AG25" s="344"/>
      <c r="AH25" s="356"/>
      <c r="AI25" s="357"/>
      <c r="AJ25" s="357"/>
      <c r="AK25" s="357"/>
      <c r="AL25" s="357"/>
      <c r="AM25" s="358"/>
      <c r="AN25" s="49"/>
      <c r="AO25" s="319"/>
      <c r="AP25" s="320"/>
      <c r="AQ25" s="320"/>
      <c r="AR25" s="320"/>
      <c r="AS25" s="320"/>
      <c r="AT25" s="321"/>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row>
    <row r="26" spans="1:80" x14ac:dyDescent="0.25">
      <c r="A26" s="49"/>
      <c r="B26" s="296"/>
      <c r="C26" s="296"/>
      <c r="D26" s="297"/>
      <c r="E26" s="337"/>
      <c r="F26" s="338"/>
      <c r="G26" s="338"/>
      <c r="H26" s="338"/>
      <c r="I26" s="339"/>
      <c r="J26" s="365" t="e">
        <f>IF(AND('MAPA CORRUPCION'!#REF!="Media",'MAPA CORRUPCION'!#REF!="Leve"),CONCATENATE("R",'MAPA CORRUPCION'!#REF!),"")</f>
        <v>#REF!</v>
      </c>
      <c r="K26" s="366"/>
      <c r="L26" s="366" t="e">
        <f>IF(AND('MAPA CORRUPCION'!#REF!="Media",'MAPA CORRUPCION'!#REF!="Leve"),CONCATENATE("R",'MAPA CORRUPCION'!#REF!),"")</f>
        <v>#REF!</v>
      </c>
      <c r="M26" s="366"/>
      <c r="N26" s="366" t="e">
        <f>IF(AND('MAPA CORRUPCION'!#REF!="Media",'MAPA CORRUPCION'!#REF!="Leve"),CONCATENATE("R",'MAPA CORRUPCION'!#REF!),"")</f>
        <v>#REF!</v>
      </c>
      <c r="O26" s="367"/>
      <c r="P26" s="365" t="e">
        <f>IF(AND('MAPA CORRUPCION'!#REF!="Media",'MAPA CORRUPCION'!#REF!="Menor"),CONCATENATE("R",'MAPA CORRUPCION'!#REF!),"")</f>
        <v>#REF!</v>
      </c>
      <c r="Q26" s="366"/>
      <c r="R26" s="366" t="e">
        <f>IF(AND('MAPA CORRUPCION'!#REF!="Media",'MAPA CORRUPCION'!#REF!="Menor"),CONCATENATE("R",'MAPA CORRUPCION'!#REF!),"")</f>
        <v>#REF!</v>
      </c>
      <c r="S26" s="366"/>
      <c r="T26" s="366" t="e">
        <f>IF(AND('MAPA CORRUPCION'!#REF!="Media",'MAPA CORRUPCION'!#REF!="Menor"),CONCATENATE("R",'MAPA CORRUPCION'!#REF!),"")</f>
        <v>#REF!</v>
      </c>
      <c r="U26" s="367"/>
      <c r="V26" s="365" t="e">
        <f>IF(AND('MAPA CORRUPCION'!#REF!="Media",'MAPA CORRUPCION'!#REF!="Moderado"),CONCATENATE("R",'MAPA CORRUPCION'!#REF!),"")</f>
        <v>#REF!</v>
      </c>
      <c r="W26" s="366"/>
      <c r="X26" s="366" t="e">
        <f>IF(AND('MAPA CORRUPCION'!#REF!="Media",'MAPA CORRUPCION'!#REF!="Moderado"),CONCATENATE("R",'MAPA CORRUPCION'!#REF!),"")</f>
        <v>#REF!</v>
      </c>
      <c r="Y26" s="366"/>
      <c r="Z26" s="366" t="e">
        <f>IF(AND('MAPA CORRUPCION'!#REF!="Media",'MAPA CORRUPCION'!#REF!="Moderado"),CONCATENATE("R",'MAPA CORRUPCION'!#REF!),"")</f>
        <v>#REF!</v>
      </c>
      <c r="AA26" s="367"/>
      <c r="AB26" s="348" t="e">
        <f>IF(AND('MAPA CORRUPCION'!#REF!="Media",'MAPA CORRUPCION'!#REF!="Mayor"),CONCATENATE("R",'MAPA CORRUPCION'!#REF!),"")</f>
        <v>#REF!</v>
      </c>
      <c r="AC26" s="345"/>
      <c r="AD26" s="343" t="e">
        <f>IF(AND('MAPA CORRUPCION'!#REF!="Media",'MAPA CORRUPCION'!#REF!="Mayor"),CONCATENATE("R",'MAPA CORRUPCION'!#REF!),"")</f>
        <v>#REF!</v>
      </c>
      <c r="AE26" s="343"/>
      <c r="AF26" s="343" t="e">
        <f>IF(AND('MAPA CORRUPCION'!#REF!="Media",'MAPA CORRUPCION'!#REF!="Mayor"),CONCATENATE("R",'MAPA CORRUPCION'!#REF!),"")</f>
        <v>#REF!</v>
      </c>
      <c r="AG26" s="344"/>
      <c r="AH26" s="356" t="e">
        <f>IF(AND('MAPA CORRUPCION'!#REF!="Media",'MAPA CORRUPCION'!#REF!="Catastrófico"),CONCATENATE("R",'MAPA CORRUPCION'!#REF!),"")</f>
        <v>#REF!</v>
      </c>
      <c r="AI26" s="357"/>
      <c r="AJ26" s="357" t="e">
        <f>IF(AND('MAPA CORRUPCION'!#REF!="Media",'MAPA CORRUPCION'!#REF!="Catastrófico"),CONCATENATE("R",'MAPA CORRUPCION'!#REF!),"")</f>
        <v>#REF!</v>
      </c>
      <c r="AK26" s="357"/>
      <c r="AL26" s="357" t="e">
        <f>IF(AND('MAPA CORRUPCION'!#REF!="Media",'MAPA CORRUPCION'!#REF!="Catastrófico"),CONCATENATE("R",'MAPA CORRUPCION'!#REF!),"")</f>
        <v>#REF!</v>
      </c>
      <c r="AM26" s="358"/>
      <c r="AN26" s="49"/>
      <c r="AO26" s="319"/>
      <c r="AP26" s="320"/>
      <c r="AQ26" s="320"/>
      <c r="AR26" s="320"/>
      <c r="AS26" s="320"/>
      <c r="AT26" s="321"/>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row>
    <row r="27" spans="1:80" x14ac:dyDescent="0.25">
      <c r="A27" s="49"/>
      <c r="B27" s="296"/>
      <c r="C27" s="296"/>
      <c r="D27" s="297"/>
      <c r="E27" s="337"/>
      <c r="F27" s="338"/>
      <c r="G27" s="338"/>
      <c r="H27" s="338"/>
      <c r="I27" s="339"/>
      <c r="J27" s="365"/>
      <c r="K27" s="366"/>
      <c r="L27" s="366"/>
      <c r="M27" s="366"/>
      <c r="N27" s="366"/>
      <c r="O27" s="367"/>
      <c r="P27" s="365"/>
      <c r="Q27" s="366"/>
      <c r="R27" s="366"/>
      <c r="S27" s="366"/>
      <c r="T27" s="366"/>
      <c r="U27" s="367"/>
      <c r="V27" s="365"/>
      <c r="W27" s="366"/>
      <c r="X27" s="366"/>
      <c r="Y27" s="366"/>
      <c r="Z27" s="366"/>
      <c r="AA27" s="367"/>
      <c r="AB27" s="348"/>
      <c r="AC27" s="345"/>
      <c r="AD27" s="343"/>
      <c r="AE27" s="343"/>
      <c r="AF27" s="343"/>
      <c r="AG27" s="344"/>
      <c r="AH27" s="356"/>
      <c r="AI27" s="357"/>
      <c r="AJ27" s="357"/>
      <c r="AK27" s="357"/>
      <c r="AL27" s="357"/>
      <c r="AM27" s="358"/>
      <c r="AN27" s="49"/>
      <c r="AO27" s="319"/>
      <c r="AP27" s="320"/>
      <c r="AQ27" s="320"/>
      <c r="AR27" s="320"/>
      <c r="AS27" s="320"/>
      <c r="AT27" s="321"/>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row>
    <row r="28" spans="1:80" x14ac:dyDescent="0.25">
      <c r="A28" s="49"/>
      <c r="B28" s="296"/>
      <c r="C28" s="296"/>
      <c r="D28" s="297"/>
      <c r="E28" s="337"/>
      <c r="F28" s="338"/>
      <c r="G28" s="338"/>
      <c r="H28" s="338"/>
      <c r="I28" s="339"/>
      <c r="J28" s="365" t="e">
        <f>IF(AND('MAPA CORRUPCION'!#REF!="Media",'MAPA CORRUPCION'!#REF!="Leve"),CONCATENATE("R",'MAPA CORRUPCION'!#REF!),"")</f>
        <v>#REF!</v>
      </c>
      <c r="K28" s="366"/>
      <c r="L28" s="366" t="e">
        <f>IF(AND('MAPA CORRUPCION'!#REF!="Media",'MAPA CORRUPCION'!#REF!="Leve"),CONCATENATE("R",'MAPA CORRUPCION'!#REF!),"")</f>
        <v>#REF!</v>
      </c>
      <c r="M28" s="366"/>
      <c r="N28" s="366" t="str">
        <f>IF(AND('MAPA CORRUPCION'!$J$23="Media",'MAPA CORRUPCION'!$O$23="Leve"),CONCATENATE("R",'MAPA CORRUPCION'!$A$23),"")</f>
        <v/>
      </c>
      <c r="O28" s="367"/>
      <c r="P28" s="365" t="e">
        <f>IF(AND('MAPA CORRUPCION'!#REF!="Media",'MAPA CORRUPCION'!#REF!="Menor"),CONCATENATE("R",'MAPA CORRUPCION'!#REF!),"")</f>
        <v>#REF!</v>
      </c>
      <c r="Q28" s="366"/>
      <c r="R28" s="366" t="e">
        <f>IF(AND('MAPA CORRUPCION'!#REF!="Media",'MAPA CORRUPCION'!#REF!="Menor"),CONCATENATE("R",'MAPA CORRUPCION'!#REF!),"")</f>
        <v>#REF!</v>
      </c>
      <c r="S28" s="366"/>
      <c r="T28" s="366" t="str">
        <f>IF(AND('MAPA CORRUPCION'!$J$23="Media",'MAPA CORRUPCION'!$O$23="Menor"),CONCATENATE("R",'MAPA CORRUPCION'!$A$23),"")</f>
        <v/>
      </c>
      <c r="U28" s="367"/>
      <c r="V28" s="365" t="e">
        <f>IF(AND('MAPA CORRUPCION'!#REF!="Media",'MAPA CORRUPCION'!#REF!="Moderado"),CONCATENATE("R",'MAPA CORRUPCION'!#REF!),"")</f>
        <v>#REF!</v>
      </c>
      <c r="W28" s="366"/>
      <c r="X28" s="366" t="e">
        <f>IF(AND('MAPA CORRUPCION'!#REF!="Media",'MAPA CORRUPCION'!#REF!="Moderado"),CONCATENATE("R",'MAPA CORRUPCION'!#REF!),"")</f>
        <v>#REF!</v>
      </c>
      <c r="Y28" s="366"/>
      <c r="Z28" s="366" t="str">
        <f>IF(AND('MAPA CORRUPCION'!$J$23="Media",'MAPA CORRUPCION'!$O$23="Moderado"),CONCATENATE("R",'MAPA CORRUPCION'!$A$23),"")</f>
        <v/>
      </c>
      <c r="AA28" s="367"/>
      <c r="AB28" s="348" t="e">
        <f>IF(AND('MAPA CORRUPCION'!#REF!="Media",'MAPA CORRUPCION'!#REF!="Mayor"),CONCATENATE("R",'MAPA CORRUPCION'!#REF!),"")</f>
        <v>#REF!</v>
      </c>
      <c r="AC28" s="345"/>
      <c r="AD28" s="343" t="e">
        <f>IF(AND('MAPA CORRUPCION'!#REF!="Media",'MAPA CORRUPCION'!#REF!="Mayor"),CONCATENATE("R",'MAPA CORRUPCION'!#REF!),"")</f>
        <v>#REF!</v>
      </c>
      <c r="AE28" s="343"/>
      <c r="AF28" s="343" t="str">
        <f>IF(AND('MAPA CORRUPCION'!$J$23="Media",'MAPA CORRUPCION'!$O$23="Mayor"),CONCATENATE("R",'MAPA CORRUPCION'!$A$23),"")</f>
        <v/>
      </c>
      <c r="AG28" s="344"/>
      <c r="AH28" s="356" t="e">
        <f>IF(AND('MAPA CORRUPCION'!#REF!="Media",'MAPA CORRUPCION'!#REF!="Catastrófico"),CONCATENATE("R",'MAPA CORRUPCION'!#REF!),"")</f>
        <v>#REF!</v>
      </c>
      <c r="AI28" s="357"/>
      <c r="AJ28" s="357" t="e">
        <f>IF(AND('MAPA CORRUPCION'!#REF!="Media",'MAPA CORRUPCION'!#REF!="Catastrófico"),CONCATENATE("R",'MAPA CORRUPCION'!#REF!),"")</f>
        <v>#REF!</v>
      </c>
      <c r="AK28" s="357"/>
      <c r="AL28" s="357" t="str">
        <f>IF(AND('MAPA CORRUPCION'!$J$23="Media",'MAPA CORRUPCION'!$O$23="Catastrófico"),CONCATENATE("R",'MAPA CORRUPCION'!$A$23),"")</f>
        <v/>
      </c>
      <c r="AM28" s="358"/>
      <c r="AN28" s="49"/>
      <c r="AO28" s="319"/>
      <c r="AP28" s="320"/>
      <c r="AQ28" s="320"/>
      <c r="AR28" s="320"/>
      <c r="AS28" s="320"/>
      <c r="AT28" s="321"/>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row>
    <row r="29" spans="1:80" ht="15.75" thickBot="1" x14ac:dyDescent="0.3">
      <c r="A29" s="49"/>
      <c r="B29" s="296"/>
      <c r="C29" s="296"/>
      <c r="D29" s="297"/>
      <c r="E29" s="340"/>
      <c r="F29" s="341"/>
      <c r="G29" s="341"/>
      <c r="H29" s="341"/>
      <c r="I29" s="342"/>
      <c r="J29" s="365"/>
      <c r="K29" s="366"/>
      <c r="L29" s="366"/>
      <c r="M29" s="366"/>
      <c r="N29" s="366"/>
      <c r="O29" s="367"/>
      <c r="P29" s="368"/>
      <c r="Q29" s="369"/>
      <c r="R29" s="369"/>
      <c r="S29" s="369"/>
      <c r="T29" s="369"/>
      <c r="U29" s="370"/>
      <c r="V29" s="368"/>
      <c r="W29" s="369"/>
      <c r="X29" s="369"/>
      <c r="Y29" s="369"/>
      <c r="Z29" s="369"/>
      <c r="AA29" s="370"/>
      <c r="AB29" s="353"/>
      <c r="AC29" s="354"/>
      <c r="AD29" s="354"/>
      <c r="AE29" s="354"/>
      <c r="AF29" s="354"/>
      <c r="AG29" s="355"/>
      <c r="AH29" s="359"/>
      <c r="AI29" s="360"/>
      <c r="AJ29" s="360"/>
      <c r="AK29" s="360"/>
      <c r="AL29" s="360"/>
      <c r="AM29" s="361"/>
      <c r="AN29" s="49"/>
      <c r="AO29" s="322"/>
      <c r="AP29" s="323"/>
      <c r="AQ29" s="323"/>
      <c r="AR29" s="323"/>
      <c r="AS29" s="323"/>
      <c r="AT29" s="324"/>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row>
    <row r="30" spans="1:80" x14ac:dyDescent="0.25">
      <c r="A30" s="49"/>
      <c r="B30" s="296"/>
      <c r="C30" s="296"/>
      <c r="D30" s="297"/>
      <c r="E30" s="334" t="s">
        <v>99</v>
      </c>
      <c r="F30" s="335"/>
      <c r="G30" s="335"/>
      <c r="H30" s="335"/>
      <c r="I30" s="335"/>
      <c r="J30" s="380" t="str">
        <f>IF(AND('MAPA CORRUPCION'!$J$5="Baja",'MAPA CORRUPCION'!$O$5="Leve"),CONCATENATE("R",'MAPA CORRUPCION'!$A$5),"")</f>
        <v/>
      </c>
      <c r="K30" s="381"/>
      <c r="L30" s="381" t="str">
        <f>IF(AND('MAPA CORRUPCION'!$J$6="Baja",'MAPA CORRUPCION'!$O$6="Leve"),CONCATENATE("R",'MAPA CORRUPCION'!$A$6),"")</f>
        <v/>
      </c>
      <c r="M30" s="381"/>
      <c r="N30" s="381" t="str">
        <f>IF(AND('MAPA CORRUPCION'!$J$10="Baja",'MAPA CORRUPCION'!$O$10="Leve"),CONCATENATE("R",'MAPA CORRUPCION'!$A$10),"")</f>
        <v/>
      </c>
      <c r="O30" s="382"/>
      <c r="P30" s="372" t="str">
        <f>IF(AND('MAPA CORRUPCION'!$J$5="Baja",'MAPA CORRUPCION'!$O$5="Menor"),CONCATENATE("R",'MAPA CORRUPCION'!$A$5),"")</f>
        <v/>
      </c>
      <c r="Q30" s="372"/>
      <c r="R30" s="372" t="str">
        <f>IF(AND('MAPA CORRUPCION'!$J$6="Baja",'MAPA CORRUPCION'!$O$6="Menor"),CONCATENATE("R",'MAPA CORRUPCION'!$A$6),"")</f>
        <v/>
      </c>
      <c r="S30" s="372"/>
      <c r="T30" s="372" t="str">
        <f>IF(AND('MAPA CORRUPCION'!$J$10="Baja",'MAPA CORRUPCION'!$O$10="Menor"),CONCATENATE("R",'MAPA CORRUPCION'!$A$10),"")</f>
        <v/>
      </c>
      <c r="U30" s="373"/>
      <c r="V30" s="371" t="str">
        <f>IF(AND('MAPA CORRUPCION'!$J$5="Baja",'MAPA CORRUPCION'!$O$5="Moderado"),CONCATENATE("R",'MAPA CORRUPCION'!$A$5),"")</f>
        <v/>
      </c>
      <c r="W30" s="372"/>
      <c r="X30" s="372" t="str">
        <f>IF(AND('MAPA CORRUPCION'!$J$6="Baja",'MAPA CORRUPCION'!$O$6="Moderado"),CONCATENATE("R",'MAPA CORRUPCION'!$A$6),"")</f>
        <v/>
      </c>
      <c r="Y30" s="372"/>
      <c r="Z30" s="372" t="str">
        <f>IF(AND('MAPA CORRUPCION'!$J$10="Baja",'MAPA CORRUPCION'!$O$10="Moderado"),CONCATENATE("R",'MAPA CORRUPCION'!$A$10),"")</f>
        <v/>
      </c>
      <c r="AA30" s="373"/>
      <c r="AB30" s="346" t="str">
        <f>IF(AND('MAPA CORRUPCION'!$J$5="Baja",'MAPA CORRUPCION'!$O$5="Mayor"),CONCATENATE("R",'MAPA CORRUPCION'!$A$5),"")</f>
        <v/>
      </c>
      <c r="AC30" s="347"/>
      <c r="AD30" s="347" t="str">
        <f>IF(AND('MAPA CORRUPCION'!$J$6="Baja",'MAPA CORRUPCION'!$O$6="Mayor"),CONCATENATE("R",'MAPA CORRUPCION'!$A$6),"")</f>
        <v>R2</v>
      </c>
      <c r="AE30" s="347"/>
      <c r="AF30" s="347" t="str">
        <f>IF(AND('MAPA CORRUPCION'!$J$10="Baja",'MAPA CORRUPCION'!$O$10="Mayor"),CONCATENATE("R",'MAPA CORRUPCION'!$A$10),"")</f>
        <v/>
      </c>
      <c r="AG30" s="349"/>
      <c r="AH30" s="362" t="str">
        <f>IF(AND('MAPA CORRUPCION'!$J$5="Baja",'MAPA CORRUPCION'!$O$5="Catastrófico"),CONCATENATE("R",'MAPA CORRUPCION'!$A$5),"")</f>
        <v/>
      </c>
      <c r="AI30" s="363"/>
      <c r="AJ30" s="363" t="str">
        <f>IF(AND('MAPA CORRUPCION'!$J$6="Baja",'MAPA CORRUPCION'!$O$6="Catastrófico"),CONCATENATE("R",'MAPA CORRUPCION'!$A$6),"")</f>
        <v/>
      </c>
      <c r="AK30" s="363"/>
      <c r="AL30" s="363" t="str">
        <f>IF(AND('MAPA CORRUPCION'!$J$10="Baja",'MAPA CORRUPCION'!$O$10="Catastrófico"),CONCATENATE("R",'MAPA CORRUPCION'!$A$10),"")</f>
        <v/>
      </c>
      <c r="AM30" s="364"/>
      <c r="AN30" s="49"/>
      <c r="AO30" s="325" t="s">
        <v>71</v>
      </c>
      <c r="AP30" s="326"/>
      <c r="AQ30" s="326"/>
      <c r="AR30" s="326"/>
      <c r="AS30" s="326"/>
      <c r="AT30" s="327"/>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row>
    <row r="31" spans="1:80" x14ac:dyDescent="0.25">
      <c r="A31" s="49"/>
      <c r="B31" s="296"/>
      <c r="C31" s="296"/>
      <c r="D31" s="297"/>
      <c r="E31" s="337"/>
      <c r="F31" s="338"/>
      <c r="G31" s="338"/>
      <c r="H31" s="338"/>
      <c r="I31" s="351"/>
      <c r="J31" s="376"/>
      <c r="K31" s="374"/>
      <c r="L31" s="374"/>
      <c r="M31" s="374"/>
      <c r="N31" s="374"/>
      <c r="O31" s="375"/>
      <c r="P31" s="366"/>
      <c r="Q31" s="366"/>
      <c r="R31" s="366"/>
      <c r="S31" s="366"/>
      <c r="T31" s="366"/>
      <c r="U31" s="367"/>
      <c r="V31" s="365"/>
      <c r="W31" s="366"/>
      <c r="X31" s="366"/>
      <c r="Y31" s="366"/>
      <c r="Z31" s="366"/>
      <c r="AA31" s="367"/>
      <c r="AB31" s="348"/>
      <c r="AC31" s="345"/>
      <c r="AD31" s="345"/>
      <c r="AE31" s="345"/>
      <c r="AF31" s="345"/>
      <c r="AG31" s="344"/>
      <c r="AH31" s="356"/>
      <c r="AI31" s="357"/>
      <c r="AJ31" s="357"/>
      <c r="AK31" s="357"/>
      <c r="AL31" s="357"/>
      <c r="AM31" s="358"/>
      <c r="AN31" s="49"/>
      <c r="AO31" s="328"/>
      <c r="AP31" s="329"/>
      <c r="AQ31" s="329"/>
      <c r="AR31" s="329"/>
      <c r="AS31" s="329"/>
      <c r="AT31" s="330"/>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row>
    <row r="32" spans="1:80" x14ac:dyDescent="0.25">
      <c r="A32" s="49"/>
      <c r="B32" s="296"/>
      <c r="C32" s="296"/>
      <c r="D32" s="297"/>
      <c r="E32" s="337"/>
      <c r="F32" s="338"/>
      <c r="G32" s="338"/>
      <c r="H32" s="338"/>
      <c r="I32" s="351"/>
      <c r="J32" s="376" t="str">
        <f ca="1">IF(AND('MAPA CORRUPCION'!$J$16="Baja",'MAPA CORRUPCION'!$O$16="Leve"),CONCATENATE("R",'MAPA CORRUPCION'!$A$16),"")</f>
        <v/>
      </c>
      <c r="K32" s="374"/>
      <c r="L32" s="374" t="str">
        <f ca="1">IF(AND('MAPA CORRUPCION'!$J$18="Baja",'MAPA CORRUPCION'!$O$18="Leve"),CONCATENATE("R",'MAPA CORRUPCION'!$A$18),"")</f>
        <v/>
      </c>
      <c r="M32" s="374"/>
      <c r="N32" s="374" t="e">
        <f>IF(AND('MAPA CORRUPCION'!#REF!="Baja",'MAPA CORRUPCION'!#REF!="Leve"),CONCATENATE("R",'MAPA CORRUPCION'!#REF!),"")</f>
        <v>#REF!</v>
      </c>
      <c r="O32" s="375"/>
      <c r="P32" s="366" t="str">
        <f ca="1">IF(AND('MAPA CORRUPCION'!$J$16="Baja",'MAPA CORRUPCION'!$O$16="Menor"),CONCATENATE("R",'MAPA CORRUPCION'!$A$16),"")</f>
        <v/>
      </c>
      <c r="Q32" s="366"/>
      <c r="R32" s="366" t="str">
        <f ca="1">IF(AND('MAPA CORRUPCION'!$J$18="Baja",'MAPA CORRUPCION'!$O$18="Menor"),CONCATENATE("R",'MAPA CORRUPCION'!$A$18),"")</f>
        <v/>
      </c>
      <c r="S32" s="366"/>
      <c r="T32" s="366" t="e">
        <f>IF(AND('MAPA CORRUPCION'!#REF!="Baja",'MAPA CORRUPCION'!#REF!="Menor"),CONCATENATE("R",'MAPA CORRUPCION'!#REF!),"")</f>
        <v>#REF!</v>
      </c>
      <c r="U32" s="367"/>
      <c r="V32" s="365" t="str">
        <f ca="1">IF(AND('MAPA CORRUPCION'!$J$16="Baja",'MAPA CORRUPCION'!$O$16="Moderado"),CONCATENATE("R",'MAPA CORRUPCION'!$A$16),"")</f>
        <v/>
      </c>
      <c r="W32" s="366"/>
      <c r="X32" s="366" t="str">
        <f ca="1">IF(AND('MAPA CORRUPCION'!$J$18="Baja",'MAPA CORRUPCION'!$O$18="Moderado"),CONCATENATE("R",'MAPA CORRUPCION'!$A$18),"")</f>
        <v/>
      </c>
      <c r="Y32" s="366"/>
      <c r="Z32" s="366" t="e">
        <f>IF(AND('MAPA CORRUPCION'!#REF!="Baja",'MAPA CORRUPCION'!#REF!="Moderado"),CONCATENATE("R",'MAPA CORRUPCION'!#REF!),"")</f>
        <v>#REF!</v>
      </c>
      <c r="AA32" s="367"/>
      <c r="AB32" s="348" t="str">
        <f ca="1">IF(AND('MAPA CORRUPCION'!$J$16="Baja",'MAPA CORRUPCION'!$O$16="Mayor"),CONCATENATE("R",'MAPA CORRUPCION'!$A$16),"")</f>
        <v/>
      </c>
      <c r="AC32" s="345"/>
      <c r="AD32" s="343" t="str">
        <f ca="1">IF(AND('MAPA CORRUPCION'!$J$18="Baja",'MAPA CORRUPCION'!$O$18="Mayor"),CONCATENATE("R",'MAPA CORRUPCION'!$A$18),"")</f>
        <v/>
      </c>
      <c r="AE32" s="343"/>
      <c r="AF32" s="343" t="e">
        <f>IF(AND('MAPA CORRUPCION'!#REF!="Baja",'MAPA CORRUPCION'!#REF!="Mayor"),CONCATENATE("R",'MAPA CORRUPCION'!#REF!),"")</f>
        <v>#REF!</v>
      </c>
      <c r="AG32" s="344"/>
      <c r="AH32" s="356" t="str">
        <f ca="1">IF(AND('MAPA CORRUPCION'!$J$16="Baja",'MAPA CORRUPCION'!$O$16="Catastrófico"),CONCATENATE("R",'MAPA CORRUPCION'!$A$16),"")</f>
        <v/>
      </c>
      <c r="AI32" s="357"/>
      <c r="AJ32" s="357" t="str">
        <f ca="1">IF(AND('MAPA CORRUPCION'!$J$18="Baja",'MAPA CORRUPCION'!$O$18="Catastrófico"),CONCATENATE("R",'MAPA CORRUPCION'!$A$18),"")</f>
        <v/>
      </c>
      <c r="AK32" s="357"/>
      <c r="AL32" s="357" t="e">
        <f>IF(AND('MAPA CORRUPCION'!#REF!="Baja",'MAPA CORRUPCION'!#REF!="Catastrófico"),CONCATENATE("R",'MAPA CORRUPCION'!#REF!),"")</f>
        <v>#REF!</v>
      </c>
      <c r="AM32" s="358"/>
      <c r="AN32" s="49"/>
      <c r="AO32" s="328"/>
      <c r="AP32" s="329"/>
      <c r="AQ32" s="329"/>
      <c r="AR32" s="329"/>
      <c r="AS32" s="329"/>
      <c r="AT32" s="330"/>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row>
    <row r="33" spans="1:80" x14ac:dyDescent="0.25">
      <c r="A33" s="49"/>
      <c r="B33" s="296"/>
      <c r="C33" s="296"/>
      <c r="D33" s="297"/>
      <c r="E33" s="337"/>
      <c r="F33" s="338"/>
      <c r="G33" s="338"/>
      <c r="H33" s="338"/>
      <c r="I33" s="351"/>
      <c r="J33" s="376"/>
      <c r="K33" s="374"/>
      <c r="L33" s="374"/>
      <c r="M33" s="374"/>
      <c r="N33" s="374"/>
      <c r="O33" s="375"/>
      <c r="P33" s="366"/>
      <c r="Q33" s="366"/>
      <c r="R33" s="366"/>
      <c r="S33" s="366"/>
      <c r="T33" s="366"/>
      <c r="U33" s="367"/>
      <c r="V33" s="365"/>
      <c r="W33" s="366"/>
      <c r="X33" s="366"/>
      <c r="Y33" s="366"/>
      <c r="Z33" s="366"/>
      <c r="AA33" s="367"/>
      <c r="AB33" s="348"/>
      <c r="AC33" s="345"/>
      <c r="AD33" s="343"/>
      <c r="AE33" s="343"/>
      <c r="AF33" s="343"/>
      <c r="AG33" s="344"/>
      <c r="AH33" s="356"/>
      <c r="AI33" s="357"/>
      <c r="AJ33" s="357"/>
      <c r="AK33" s="357"/>
      <c r="AL33" s="357"/>
      <c r="AM33" s="358"/>
      <c r="AN33" s="49"/>
      <c r="AO33" s="328"/>
      <c r="AP33" s="329"/>
      <c r="AQ33" s="329"/>
      <c r="AR33" s="329"/>
      <c r="AS33" s="329"/>
      <c r="AT33" s="330"/>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row>
    <row r="34" spans="1:80" x14ac:dyDescent="0.25">
      <c r="A34" s="49"/>
      <c r="B34" s="296"/>
      <c r="C34" s="296"/>
      <c r="D34" s="297"/>
      <c r="E34" s="337"/>
      <c r="F34" s="338"/>
      <c r="G34" s="338"/>
      <c r="H34" s="338"/>
      <c r="I34" s="351"/>
      <c r="J34" s="376" t="e">
        <f>IF(AND('MAPA CORRUPCION'!#REF!="Baja",'MAPA CORRUPCION'!#REF!="Leve"),CONCATENATE("R",'MAPA CORRUPCION'!#REF!),"")</f>
        <v>#REF!</v>
      </c>
      <c r="K34" s="374"/>
      <c r="L34" s="374" t="e">
        <f>IF(AND('MAPA CORRUPCION'!#REF!="Baja",'MAPA CORRUPCION'!#REF!="Leve"),CONCATENATE("R",'MAPA CORRUPCION'!#REF!),"")</f>
        <v>#REF!</v>
      </c>
      <c r="M34" s="374"/>
      <c r="N34" s="374" t="e">
        <f>IF(AND('MAPA CORRUPCION'!#REF!="Baja",'MAPA CORRUPCION'!#REF!="Leve"),CONCATENATE("R",'MAPA CORRUPCION'!#REF!),"")</f>
        <v>#REF!</v>
      </c>
      <c r="O34" s="375"/>
      <c r="P34" s="366" t="e">
        <f>IF(AND('MAPA CORRUPCION'!#REF!="Baja",'MAPA CORRUPCION'!#REF!="Menor"),CONCATENATE("R",'MAPA CORRUPCION'!#REF!),"")</f>
        <v>#REF!</v>
      </c>
      <c r="Q34" s="366"/>
      <c r="R34" s="366" t="e">
        <f>IF(AND('MAPA CORRUPCION'!#REF!="Baja",'MAPA CORRUPCION'!#REF!="Menor"),CONCATENATE("R",'MAPA CORRUPCION'!#REF!),"")</f>
        <v>#REF!</v>
      </c>
      <c r="S34" s="366"/>
      <c r="T34" s="366" t="e">
        <f>IF(AND('MAPA CORRUPCION'!#REF!="Baja",'MAPA CORRUPCION'!#REF!="Menor"),CONCATENATE("R",'MAPA CORRUPCION'!#REF!),"")</f>
        <v>#REF!</v>
      </c>
      <c r="U34" s="367"/>
      <c r="V34" s="365" t="e">
        <f>IF(AND('MAPA CORRUPCION'!#REF!="Baja",'MAPA CORRUPCION'!#REF!="Moderado"),CONCATENATE("R",'MAPA CORRUPCION'!#REF!),"")</f>
        <v>#REF!</v>
      </c>
      <c r="W34" s="366"/>
      <c r="X34" s="366" t="e">
        <f>IF(AND('MAPA CORRUPCION'!#REF!="Baja",'MAPA CORRUPCION'!#REF!="Moderado"),CONCATENATE("R",'MAPA CORRUPCION'!#REF!),"")</f>
        <v>#REF!</v>
      </c>
      <c r="Y34" s="366"/>
      <c r="Z34" s="366" t="e">
        <f>IF(AND('MAPA CORRUPCION'!#REF!="Baja",'MAPA CORRUPCION'!#REF!="Moderado"),CONCATENATE("R",'MAPA CORRUPCION'!#REF!),"")</f>
        <v>#REF!</v>
      </c>
      <c r="AA34" s="367"/>
      <c r="AB34" s="348" t="e">
        <f>IF(AND('MAPA CORRUPCION'!#REF!="Baja",'MAPA CORRUPCION'!#REF!="Mayor"),CONCATENATE("R",'MAPA CORRUPCION'!#REF!),"")</f>
        <v>#REF!</v>
      </c>
      <c r="AC34" s="345"/>
      <c r="AD34" s="343" t="e">
        <f>IF(AND('MAPA CORRUPCION'!#REF!="Baja",'MAPA CORRUPCION'!#REF!="Mayor"),CONCATENATE("R",'MAPA CORRUPCION'!#REF!),"")</f>
        <v>#REF!</v>
      </c>
      <c r="AE34" s="343"/>
      <c r="AF34" s="343" t="e">
        <f>IF(AND('MAPA CORRUPCION'!#REF!="Baja",'MAPA CORRUPCION'!#REF!="Mayor"),CONCATENATE("R",'MAPA CORRUPCION'!#REF!),"")</f>
        <v>#REF!</v>
      </c>
      <c r="AG34" s="344"/>
      <c r="AH34" s="356" t="e">
        <f>IF(AND('MAPA CORRUPCION'!#REF!="Baja",'MAPA CORRUPCION'!#REF!="Catastrófico"),CONCATENATE("R",'MAPA CORRUPCION'!#REF!),"")</f>
        <v>#REF!</v>
      </c>
      <c r="AI34" s="357"/>
      <c r="AJ34" s="357" t="e">
        <f>IF(AND('MAPA CORRUPCION'!#REF!="Baja",'MAPA CORRUPCION'!#REF!="Catastrófico"),CONCATENATE("R",'MAPA CORRUPCION'!#REF!),"")</f>
        <v>#REF!</v>
      </c>
      <c r="AK34" s="357"/>
      <c r="AL34" s="357" t="e">
        <f>IF(AND('MAPA CORRUPCION'!#REF!="Baja",'MAPA CORRUPCION'!#REF!="Catastrófico"),CONCATENATE("R",'MAPA CORRUPCION'!#REF!),"")</f>
        <v>#REF!</v>
      </c>
      <c r="AM34" s="358"/>
      <c r="AN34" s="49"/>
      <c r="AO34" s="328"/>
      <c r="AP34" s="329"/>
      <c r="AQ34" s="329"/>
      <c r="AR34" s="329"/>
      <c r="AS34" s="329"/>
      <c r="AT34" s="330"/>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row>
    <row r="35" spans="1:80" x14ac:dyDescent="0.25">
      <c r="A35" s="49"/>
      <c r="B35" s="296"/>
      <c r="C35" s="296"/>
      <c r="D35" s="297"/>
      <c r="E35" s="337"/>
      <c r="F35" s="338"/>
      <c r="G35" s="338"/>
      <c r="H35" s="338"/>
      <c r="I35" s="351"/>
      <c r="J35" s="376"/>
      <c r="K35" s="374"/>
      <c r="L35" s="374"/>
      <c r="M35" s="374"/>
      <c r="N35" s="374"/>
      <c r="O35" s="375"/>
      <c r="P35" s="366"/>
      <c r="Q35" s="366"/>
      <c r="R35" s="366"/>
      <c r="S35" s="366"/>
      <c r="T35" s="366"/>
      <c r="U35" s="367"/>
      <c r="V35" s="365"/>
      <c r="W35" s="366"/>
      <c r="X35" s="366"/>
      <c r="Y35" s="366"/>
      <c r="Z35" s="366"/>
      <c r="AA35" s="367"/>
      <c r="AB35" s="348"/>
      <c r="AC35" s="345"/>
      <c r="AD35" s="343"/>
      <c r="AE35" s="343"/>
      <c r="AF35" s="343"/>
      <c r="AG35" s="344"/>
      <c r="AH35" s="356"/>
      <c r="AI35" s="357"/>
      <c r="AJ35" s="357"/>
      <c r="AK35" s="357"/>
      <c r="AL35" s="357"/>
      <c r="AM35" s="358"/>
      <c r="AN35" s="49"/>
      <c r="AO35" s="328"/>
      <c r="AP35" s="329"/>
      <c r="AQ35" s="329"/>
      <c r="AR35" s="329"/>
      <c r="AS35" s="329"/>
      <c r="AT35" s="330"/>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row>
    <row r="36" spans="1:80" x14ac:dyDescent="0.25">
      <c r="A36" s="49"/>
      <c r="B36" s="296"/>
      <c r="C36" s="296"/>
      <c r="D36" s="297"/>
      <c r="E36" s="337"/>
      <c r="F36" s="338"/>
      <c r="G36" s="338"/>
      <c r="H36" s="338"/>
      <c r="I36" s="351"/>
      <c r="J36" s="376" t="e">
        <f>IF(AND('MAPA CORRUPCION'!#REF!="Baja",'MAPA CORRUPCION'!#REF!="Leve"),CONCATENATE("R",'MAPA CORRUPCION'!#REF!),"")</f>
        <v>#REF!</v>
      </c>
      <c r="K36" s="374"/>
      <c r="L36" s="374" t="e">
        <f>IF(AND('MAPA CORRUPCION'!#REF!="Baja",'MAPA CORRUPCION'!#REF!="Leve"),CONCATENATE("R",'MAPA CORRUPCION'!#REF!),"")</f>
        <v>#REF!</v>
      </c>
      <c r="M36" s="374"/>
      <c r="N36" s="374" t="str">
        <f>IF(AND('MAPA CORRUPCION'!$J$23="Baja",'MAPA CORRUPCION'!$O$23="Leve"),CONCATENATE("R",'MAPA CORRUPCION'!$A$23),"")</f>
        <v/>
      </c>
      <c r="O36" s="375"/>
      <c r="P36" s="366" t="e">
        <f>IF(AND('MAPA CORRUPCION'!#REF!="Baja",'MAPA CORRUPCION'!#REF!="Menor"),CONCATENATE("R",'MAPA CORRUPCION'!#REF!),"")</f>
        <v>#REF!</v>
      </c>
      <c r="Q36" s="366"/>
      <c r="R36" s="366" t="e">
        <f>IF(AND('MAPA CORRUPCION'!#REF!="Baja",'MAPA CORRUPCION'!#REF!="Menor"),CONCATENATE("R",'MAPA CORRUPCION'!#REF!),"")</f>
        <v>#REF!</v>
      </c>
      <c r="S36" s="366"/>
      <c r="T36" s="366" t="str">
        <f>IF(AND('MAPA CORRUPCION'!$J$23="Baja",'MAPA CORRUPCION'!$O$23="Menor"),CONCATENATE("R",'MAPA CORRUPCION'!$A$23),"")</f>
        <v/>
      </c>
      <c r="U36" s="367"/>
      <c r="V36" s="365" t="e">
        <f>IF(AND('MAPA CORRUPCION'!#REF!="Baja",'MAPA CORRUPCION'!#REF!="Moderado"),CONCATENATE("R",'MAPA CORRUPCION'!#REF!),"")</f>
        <v>#REF!</v>
      </c>
      <c r="W36" s="366"/>
      <c r="X36" s="366" t="e">
        <f>IF(AND('MAPA CORRUPCION'!#REF!="Baja",'MAPA CORRUPCION'!#REF!="Moderado"),CONCATENATE("R",'MAPA CORRUPCION'!#REF!),"")</f>
        <v>#REF!</v>
      </c>
      <c r="Y36" s="366"/>
      <c r="Z36" s="366" t="str">
        <f>IF(AND('MAPA CORRUPCION'!$J$23="Baja",'MAPA CORRUPCION'!$O$23="Moderado"),CONCATENATE("R",'MAPA CORRUPCION'!$A$23),"")</f>
        <v/>
      </c>
      <c r="AA36" s="367"/>
      <c r="AB36" s="348" t="e">
        <f>IF(AND('MAPA CORRUPCION'!#REF!="Baja",'MAPA CORRUPCION'!#REF!="Mayor"),CONCATENATE("R",'MAPA CORRUPCION'!#REF!),"")</f>
        <v>#REF!</v>
      </c>
      <c r="AC36" s="345"/>
      <c r="AD36" s="343" t="e">
        <f>IF(AND('MAPA CORRUPCION'!#REF!="Baja",'MAPA CORRUPCION'!#REF!="Mayor"),CONCATENATE("R",'MAPA CORRUPCION'!#REF!),"")</f>
        <v>#REF!</v>
      </c>
      <c r="AE36" s="343"/>
      <c r="AF36" s="343" t="str">
        <f>IF(AND('MAPA CORRUPCION'!$J$23="Baja",'MAPA CORRUPCION'!$O$23="Mayor"),CONCATENATE("R",'MAPA CORRUPCION'!$A$23),"")</f>
        <v/>
      </c>
      <c r="AG36" s="344"/>
      <c r="AH36" s="356" t="e">
        <f>IF(AND('MAPA CORRUPCION'!#REF!="Baja",'MAPA CORRUPCION'!#REF!="Catastrófico"),CONCATENATE("R",'MAPA CORRUPCION'!#REF!),"")</f>
        <v>#REF!</v>
      </c>
      <c r="AI36" s="357"/>
      <c r="AJ36" s="357" t="e">
        <f>IF(AND('MAPA CORRUPCION'!#REF!="Baja",'MAPA CORRUPCION'!#REF!="Catastrófico"),CONCATENATE("R",'MAPA CORRUPCION'!#REF!),"")</f>
        <v>#REF!</v>
      </c>
      <c r="AK36" s="357"/>
      <c r="AL36" s="357" t="str">
        <f>IF(AND('MAPA CORRUPCION'!$J$23="Baja",'MAPA CORRUPCION'!$O$23="Catastrófico"),CONCATENATE("R",'MAPA CORRUPCION'!$A$23),"")</f>
        <v/>
      </c>
      <c r="AM36" s="358"/>
      <c r="AN36" s="49"/>
      <c r="AO36" s="328"/>
      <c r="AP36" s="329"/>
      <c r="AQ36" s="329"/>
      <c r="AR36" s="329"/>
      <c r="AS36" s="329"/>
      <c r="AT36" s="330"/>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row>
    <row r="37" spans="1:80" ht="15.75" thickBot="1" x14ac:dyDescent="0.3">
      <c r="A37" s="49"/>
      <c r="B37" s="296"/>
      <c r="C37" s="296"/>
      <c r="D37" s="297"/>
      <c r="E37" s="340"/>
      <c r="F37" s="341"/>
      <c r="G37" s="341"/>
      <c r="H37" s="341"/>
      <c r="I37" s="341"/>
      <c r="J37" s="377"/>
      <c r="K37" s="378"/>
      <c r="L37" s="378"/>
      <c r="M37" s="378"/>
      <c r="N37" s="378"/>
      <c r="O37" s="379"/>
      <c r="P37" s="369"/>
      <c r="Q37" s="369"/>
      <c r="R37" s="369"/>
      <c r="S37" s="369"/>
      <c r="T37" s="369"/>
      <c r="U37" s="370"/>
      <c r="V37" s="368"/>
      <c r="W37" s="369"/>
      <c r="X37" s="369"/>
      <c r="Y37" s="369"/>
      <c r="Z37" s="369"/>
      <c r="AA37" s="370"/>
      <c r="AB37" s="353"/>
      <c r="AC37" s="354"/>
      <c r="AD37" s="354"/>
      <c r="AE37" s="354"/>
      <c r="AF37" s="354"/>
      <c r="AG37" s="355"/>
      <c r="AH37" s="359"/>
      <c r="AI37" s="360"/>
      <c r="AJ37" s="360"/>
      <c r="AK37" s="360"/>
      <c r="AL37" s="360"/>
      <c r="AM37" s="361"/>
      <c r="AN37" s="49"/>
      <c r="AO37" s="331"/>
      <c r="AP37" s="332"/>
      <c r="AQ37" s="332"/>
      <c r="AR37" s="332"/>
      <c r="AS37" s="332"/>
      <c r="AT37" s="333"/>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row>
    <row r="38" spans="1:80" x14ac:dyDescent="0.25">
      <c r="A38" s="49"/>
      <c r="B38" s="296"/>
      <c r="C38" s="296"/>
      <c r="D38" s="297"/>
      <c r="E38" s="334" t="s">
        <v>98</v>
      </c>
      <c r="F38" s="335"/>
      <c r="G38" s="335"/>
      <c r="H38" s="335"/>
      <c r="I38" s="336"/>
      <c r="J38" s="380" t="str">
        <f>IF(AND('MAPA CORRUPCION'!$J$5="Muy Baja",'MAPA CORRUPCION'!$O$5="Leve"),CONCATENATE("R",'MAPA CORRUPCION'!$A$5),"")</f>
        <v/>
      </c>
      <c r="K38" s="381"/>
      <c r="L38" s="381" t="str">
        <f>IF(AND('MAPA CORRUPCION'!$J$6="Muy Baja",'MAPA CORRUPCION'!$O$6="Leve"),CONCATENATE("R",'MAPA CORRUPCION'!$A$6),"")</f>
        <v/>
      </c>
      <c r="M38" s="381"/>
      <c r="N38" s="381" t="str">
        <f>IF(AND('MAPA CORRUPCION'!$J$10="Muy Baja",'MAPA CORRUPCION'!$O$10="Leve"),CONCATENATE("R",'MAPA CORRUPCION'!$A$10),"")</f>
        <v/>
      </c>
      <c r="O38" s="382"/>
      <c r="P38" s="380" t="str">
        <f>IF(AND('MAPA CORRUPCION'!$J$5="Muy Baja",'MAPA CORRUPCION'!$O$5="Menor"),CONCATENATE("R",'MAPA CORRUPCION'!$A$5),"")</f>
        <v/>
      </c>
      <c r="Q38" s="381"/>
      <c r="R38" s="381" t="str">
        <f>IF(AND('MAPA CORRUPCION'!$J$6="Muy Baja",'MAPA CORRUPCION'!$O$6="Menor"),CONCATENATE("R",'MAPA CORRUPCION'!$A$6),"")</f>
        <v/>
      </c>
      <c r="S38" s="381"/>
      <c r="T38" s="381" t="str">
        <f>IF(AND('MAPA CORRUPCION'!$J$10="Muy Baja",'MAPA CORRUPCION'!$O$10="Menor"),CONCATENATE("R",'MAPA CORRUPCION'!$A$10),"")</f>
        <v/>
      </c>
      <c r="U38" s="382"/>
      <c r="V38" s="371" t="str">
        <f>IF(AND('MAPA CORRUPCION'!$J$5="Muy Baja",'MAPA CORRUPCION'!$O$5="Moderado"),CONCATENATE("R",'MAPA CORRUPCION'!$A$5),"")</f>
        <v/>
      </c>
      <c r="W38" s="372"/>
      <c r="X38" s="372" t="str">
        <f>IF(AND('MAPA CORRUPCION'!$J$6="Muy Baja",'MAPA CORRUPCION'!$O$6="Moderado"),CONCATENATE("R",'MAPA CORRUPCION'!$A$6),"")</f>
        <v/>
      </c>
      <c r="Y38" s="372"/>
      <c r="Z38" s="372" t="str">
        <f>IF(AND('MAPA CORRUPCION'!$J$10="Muy Baja",'MAPA CORRUPCION'!$O$10="Moderado"),CONCATENATE("R",'MAPA CORRUPCION'!$A$10),"")</f>
        <v/>
      </c>
      <c r="AA38" s="373"/>
      <c r="AB38" s="346" t="str">
        <f>IF(AND('MAPA CORRUPCION'!$J$5="Muy Baja",'MAPA CORRUPCION'!$O$5="Mayor"),CONCATENATE("R",'MAPA CORRUPCION'!$A$5),"")</f>
        <v/>
      </c>
      <c r="AC38" s="347"/>
      <c r="AD38" s="347" t="str">
        <f>IF(AND('MAPA CORRUPCION'!$J$6="Muy Baja",'MAPA CORRUPCION'!$O$6="Mayor"),CONCATENATE("R",'MAPA CORRUPCION'!$A$6),"")</f>
        <v/>
      </c>
      <c r="AE38" s="347"/>
      <c r="AF38" s="347" t="str">
        <f>IF(AND('MAPA CORRUPCION'!$J$10="Muy Baja",'MAPA CORRUPCION'!$O$10="Mayor"),CONCATENATE("R",'MAPA CORRUPCION'!$A$10),"")</f>
        <v/>
      </c>
      <c r="AG38" s="349"/>
      <c r="AH38" s="362" t="str">
        <f>IF(AND('MAPA CORRUPCION'!$J$5="Muy Baja",'MAPA CORRUPCION'!$O$5="Catastrófico"),CONCATENATE("R",'MAPA CORRUPCION'!$A$5),"")</f>
        <v/>
      </c>
      <c r="AI38" s="363"/>
      <c r="AJ38" s="363" t="str">
        <f>IF(AND('MAPA CORRUPCION'!$J$6="Muy Baja",'MAPA CORRUPCION'!$O$6="Catastrófico"),CONCATENATE("R",'MAPA CORRUPCION'!$A$6),"")</f>
        <v/>
      </c>
      <c r="AK38" s="363"/>
      <c r="AL38" s="363" t="str">
        <f>IF(AND('MAPA CORRUPCION'!$J$10="Muy Baja",'MAPA CORRUPCION'!$O$10="Catastrófico"),CONCATENATE("R",'MAPA CORRUPCION'!$A$10),"")</f>
        <v/>
      </c>
      <c r="AM38" s="364"/>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row>
    <row r="39" spans="1:80" x14ac:dyDescent="0.25">
      <c r="A39" s="49"/>
      <c r="B39" s="296"/>
      <c r="C39" s="296"/>
      <c r="D39" s="297"/>
      <c r="E39" s="337"/>
      <c r="F39" s="338"/>
      <c r="G39" s="338"/>
      <c r="H39" s="338"/>
      <c r="I39" s="339"/>
      <c r="J39" s="376"/>
      <c r="K39" s="374"/>
      <c r="L39" s="374"/>
      <c r="M39" s="374"/>
      <c r="N39" s="374"/>
      <c r="O39" s="375"/>
      <c r="P39" s="376"/>
      <c r="Q39" s="374"/>
      <c r="R39" s="374"/>
      <c r="S39" s="374"/>
      <c r="T39" s="374"/>
      <c r="U39" s="375"/>
      <c r="V39" s="365"/>
      <c r="W39" s="366"/>
      <c r="X39" s="366"/>
      <c r="Y39" s="366"/>
      <c r="Z39" s="366"/>
      <c r="AA39" s="367"/>
      <c r="AB39" s="348"/>
      <c r="AC39" s="345"/>
      <c r="AD39" s="345"/>
      <c r="AE39" s="345"/>
      <c r="AF39" s="345"/>
      <c r="AG39" s="344"/>
      <c r="AH39" s="356"/>
      <c r="AI39" s="357"/>
      <c r="AJ39" s="357"/>
      <c r="AK39" s="357"/>
      <c r="AL39" s="357"/>
      <c r="AM39" s="358"/>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row>
    <row r="40" spans="1:80" x14ac:dyDescent="0.25">
      <c r="A40" s="49"/>
      <c r="B40" s="296"/>
      <c r="C40" s="296"/>
      <c r="D40" s="297"/>
      <c r="E40" s="337"/>
      <c r="F40" s="338"/>
      <c r="G40" s="338"/>
      <c r="H40" s="338"/>
      <c r="I40" s="339"/>
      <c r="J40" s="376" t="str">
        <f ca="1">IF(AND('MAPA CORRUPCION'!$J$16="Muy Baja",'MAPA CORRUPCION'!$O$16="Leve"),CONCATENATE("R",'MAPA CORRUPCION'!$A$16),"")</f>
        <v/>
      </c>
      <c r="K40" s="374"/>
      <c r="L40" s="374" t="str">
        <f ca="1">IF(AND('MAPA CORRUPCION'!$J$18="Muy Baja",'MAPA CORRUPCION'!$O$18="Leve"),CONCATENATE("R",'MAPA CORRUPCION'!$A$18),"")</f>
        <v/>
      </c>
      <c r="M40" s="374"/>
      <c r="N40" s="374" t="e">
        <f>IF(AND('MAPA CORRUPCION'!#REF!="Muy Baja",'MAPA CORRUPCION'!#REF!="Leve"),CONCATENATE("R",'MAPA CORRUPCION'!#REF!),"")</f>
        <v>#REF!</v>
      </c>
      <c r="O40" s="375"/>
      <c r="P40" s="376" t="str">
        <f ca="1">IF(AND('MAPA CORRUPCION'!$J$16="Muy Baja",'MAPA CORRUPCION'!$O$16="Menor"),CONCATENATE("R",'MAPA CORRUPCION'!$A$16),"")</f>
        <v/>
      </c>
      <c r="Q40" s="374"/>
      <c r="R40" s="374" t="str">
        <f ca="1">IF(AND('MAPA CORRUPCION'!$J$18="Muy Baja",'MAPA CORRUPCION'!$O$18="Menor"),CONCATENATE("R",'MAPA CORRUPCION'!$A$18),"")</f>
        <v/>
      </c>
      <c r="S40" s="374"/>
      <c r="T40" s="374" t="e">
        <f>IF(AND('MAPA CORRUPCION'!#REF!="Muy Baja",'MAPA CORRUPCION'!#REF!="Menor"),CONCATENATE("R",'MAPA CORRUPCION'!#REF!),"")</f>
        <v>#REF!</v>
      </c>
      <c r="U40" s="375"/>
      <c r="V40" s="365" t="str">
        <f ca="1">IF(AND('MAPA CORRUPCION'!$J$16="Muy Baja",'MAPA CORRUPCION'!$O$16="Moderado"),CONCATENATE("R",'MAPA CORRUPCION'!$A$16),"")</f>
        <v/>
      </c>
      <c r="W40" s="366"/>
      <c r="X40" s="366" t="str">
        <f ca="1">IF(AND('MAPA CORRUPCION'!$J$18="Muy Baja",'MAPA CORRUPCION'!$O$18="Moderado"),CONCATENATE("R",'MAPA CORRUPCION'!$A$18),"")</f>
        <v/>
      </c>
      <c r="Y40" s="366"/>
      <c r="Z40" s="366" t="e">
        <f>IF(AND('MAPA CORRUPCION'!#REF!="Muy Baja",'MAPA CORRUPCION'!#REF!="Moderado"),CONCATENATE("R",'MAPA CORRUPCION'!#REF!),"")</f>
        <v>#REF!</v>
      </c>
      <c r="AA40" s="367"/>
      <c r="AB40" s="348" t="str">
        <f ca="1">IF(AND('MAPA CORRUPCION'!$J$16="Muy Baja",'MAPA CORRUPCION'!$O$16="Mayor"),CONCATENATE("R",'MAPA CORRUPCION'!$A$16),"")</f>
        <v/>
      </c>
      <c r="AC40" s="345"/>
      <c r="AD40" s="343" t="str">
        <f ca="1">IF(AND('MAPA CORRUPCION'!$J$18="Muy Baja",'MAPA CORRUPCION'!$O$18="Mayor"),CONCATENATE("R",'MAPA CORRUPCION'!$A$18),"")</f>
        <v/>
      </c>
      <c r="AE40" s="343"/>
      <c r="AF40" s="343" t="e">
        <f>IF(AND('MAPA CORRUPCION'!#REF!="Muy Baja",'MAPA CORRUPCION'!#REF!="Mayor"),CONCATENATE("R",'MAPA CORRUPCION'!#REF!),"")</f>
        <v>#REF!</v>
      </c>
      <c r="AG40" s="344"/>
      <c r="AH40" s="356" t="str">
        <f ca="1">IF(AND('MAPA CORRUPCION'!$J$16="Muy Baja",'MAPA CORRUPCION'!$O$16="Catastrófico"),CONCATENATE("R",'MAPA CORRUPCION'!$A$16),"")</f>
        <v/>
      </c>
      <c r="AI40" s="357"/>
      <c r="AJ40" s="357" t="str">
        <f ca="1">IF(AND('MAPA CORRUPCION'!$J$18="Muy Baja",'MAPA CORRUPCION'!$O$18="Catastrófico"),CONCATENATE("R",'MAPA CORRUPCION'!$A$18),"")</f>
        <v/>
      </c>
      <c r="AK40" s="357"/>
      <c r="AL40" s="357" t="e">
        <f>IF(AND('MAPA CORRUPCION'!#REF!="Muy Baja",'MAPA CORRUPCION'!#REF!="Catastrófico"),CONCATENATE("R",'MAPA CORRUPCION'!#REF!),"")</f>
        <v>#REF!</v>
      </c>
      <c r="AM40" s="358"/>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row>
    <row r="41" spans="1:80" x14ac:dyDescent="0.25">
      <c r="A41" s="49"/>
      <c r="B41" s="296"/>
      <c r="C41" s="296"/>
      <c r="D41" s="297"/>
      <c r="E41" s="337"/>
      <c r="F41" s="338"/>
      <c r="G41" s="338"/>
      <c r="H41" s="338"/>
      <c r="I41" s="339"/>
      <c r="J41" s="376"/>
      <c r="K41" s="374"/>
      <c r="L41" s="374"/>
      <c r="M41" s="374"/>
      <c r="N41" s="374"/>
      <c r="O41" s="375"/>
      <c r="P41" s="376"/>
      <c r="Q41" s="374"/>
      <c r="R41" s="374"/>
      <c r="S41" s="374"/>
      <c r="T41" s="374"/>
      <c r="U41" s="375"/>
      <c r="V41" s="365"/>
      <c r="W41" s="366"/>
      <c r="X41" s="366"/>
      <c r="Y41" s="366"/>
      <c r="Z41" s="366"/>
      <c r="AA41" s="367"/>
      <c r="AB41" s="348"/>
      <c r="AC41" s="345"/>
      <c r="AD41" s="343"/>
      <c r="AE41" s="343"/>
      <c r="AF41" s="343"/>
      <c r="AG41" s="344"/>
      <c r="AH41" s="356"/>
      <c r="AI41" s="357"/>
      <c r="AJ41" s="357"/>
      <c r="AK41" s="357"/>
      <c r="AL41" s="357"/>
      <c r="AM41" s="358"/>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row>
    <row r="42" spans="1:80" x14ac:dyDescent="0.25">
      <c r="A42" s="49"/>
      <c r="B42" s="296"/>
      <c r="C42" s="296"/>
      <c r="D42" s="297"/>
      <c r="E42" s="337"/>
      <c r="F42" s="338"/>
      <c r="G42" s="338"/>
      <c r="H42" s="338"/>
      <c r="I42" s="339"/>
      <c r="J42" s="376" t="e">
        <f>IF(AND('MAPA CORRUPCION'!#REF!="Muy Baja",'MAPA CORRUPCION'!#REF!="Leve"),CONCATENATE("R",'MAPA CORRUPCION'!#REF!),"")</f>
        <v>#REF!</v>
      </c>
      <c r="K42" s="374"/>
      <c r="L42" s="374" t="e">
        <f>IF(AND('MAPA CORRUPCION'!#REF!="Muy Baja",'MAPA CORRUPCION'!#REF!="Leve"),CONCATENATE("R",'MAPA CORRUPCION'!#REF!),"")</f>
        <v>#REF!</v>
      </c>
      <c r="M42" s="374"/>
      <c r="N42" s="374" t="e">
        <f>IF(AND('MAPA CORRUPCION'!#REF!="Muy Baja",'MAPA CORRUPCION'!#REF!="Leve"),CONCATENATE("R",'MAPA CORRUPCION'!#REF!),"")</f>
        <v>#REF!</v>
      </c>
      <c r="O42" s="375"/>
      <c r="P42" s="376" t="e">
        <f>IF(AND('MAPA CORRUPCION'!#REF!="Muy Baja",'MAPA CORRUPCION'!#REF!="Menor"),CONCATENATE("R",'MAPA CORRUPCION'!#REF!),"")</f>
        <v>#REF!</v>
      </c>
      <c r="Q42" s="374"/>
      <c r="R42" s="374" t="e">
        <f>IF(AND('MAPA CORRUPCION'!#REF!="Muy Baja",'MAPA CORRUPCION'!#REF!="Menor"),CONCATENATE("R",'MAPA CORRUPCION'!#REF!),"")</f>
        <v>#REF!</v>
      </c>
      <c r="S42" s="374"/>
      <c r="T42" s="374" t="e">
        <f>IF(AND('MAPA CORRUPCION'!#REF!="Muy Baja",'MAPA CORRUPCION'!#REF!="Menor"),CONCATENATE("R",'MAPA CORRUPCION'!#REF!),"")</f>
        <v>#REF!</v>
      </c>
      <c r="U42" s="375"/>
      <c r="V42" s="365" t="e">
        <f>IF(AND('MAPA CORRUPCION'!#REF!="Muy Baja",'MAPA CORRUPCION'!#REF!="Moderado"),CONCATENATE("R",'MAPA CORRUPCION'!#REF!),"")</f>
        <v>#REF!</v>
      </c>
      <c r="W42" s="366"/>
      <c r="X42" s="366" t="e">
        <f>IF(AND('MAPA CORRUPCION'!#REF!="Muy Baja",'MAPA CORRUPCION'!#REF!="Moderado"),CONCATENATE("R",'MAPA CORRUPCION'!#REF!),"")</f>
        <v>#REF!</v>
      </c>
      <c r="Y42" s="366"/>
      <c r="Z42" s="366" t="e">
        <f>IF(AND('MAPA CORRUPCION'!#REF!="Muy Baja",'MAPA CORRUPCION'!#REF!="Moderado"),CONCATENATE("R",'MAPA CORRUPCION'!#REF!),"")</f>
        <v>#REF!</v>
      </c>
      <c r="AA42" s="367"/>
      <c r="AB42" s="348" t="e">
        <f>IF(AND('MAPA CORRUPCION'!#REF!="Muy Baja",'MAPA CORRUPCION'!#REF!="Mayor"),CONCATENATE("R",'MAPA CORRUPCION'!#REF!),"")</f>
        <v>#REF!</v>
      </c>
      <c r="AC42" s="345"/>
      <c r="AD42" s="343" t="e">
        <f>IF(AND('MAPA CORRUPCION'!#REF!="Muy Baja",'MAPA CORRUPCION'!#REF!="Mayor"),CONCATENATE("R",'MAPA CORRUPCION'!#REF!),"")</f>
        <v>#REF!</v>
      </c>
      <c r="AE42" s="343"/>
      <c r="AF42" s="343" t="e">
        <f>IF(AND('MAPA CORRUPCION'!#REF!="Muy Baja",'MAPA CORRUPCION'!#REF!="Mayor"),CONCATENATE("R",'MAPA CORRUPCION'!#REF!),"")</f>
        <v>#REF!</v>
      </c>
      <c r="AG42" s="344"/>
      <c r="AH42" s="356" t="e">
        <f>IF(AND('MAPA CORRUPCION'!#REF!="Muy Baja",'MAPA CORRUPCION'!#REF!="Catastrófico"),CONCATENATE("R",'MAPA CORRUPCION'!#REF!),"")</f>
        <v>#REF!</v>
      </c>
      <c r="AI42" s="357"/>
      <c r="AJ42" s="357" t="e">
        <f>IF(AND('MAPA CORRUPCION'!#REF!="Muy Baja",'MAPA CORRUPCION'!#REF!="Catastrófico"),CONCATENATE("R",'MAPA CORRUPCION'!#REF!),"")</f>
        <v>#REF!</v>
      </c>
      <c r="AK42" s="357"/>
      <c r="AL42" s="357" t="e">
        <f>IF(AND('MAPA CORRUPCION'!#REF!="Muy Baja",'MAPA CORRUPCION'!#REF!="Catastrófico"),CONCATENATE("R",'MAPA CORRUPCION'!#REF!),"")</f>
        <v>#REF!</v>
      </c>
      <c r="AM42" s="358"/>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row>
    <row r="43" spans="1:80" x14ac:dyDescent="0.25">
      <c r="A43" s="49"/>
      <c r="B43" s="296"/>
      <c r="C43" s="296"/>
      <c r="D43" s="297"/>
      <c r="E43" s="337"/>
      <c r="F43" s="338"/>
      <c r="G43" s="338"/>
      <c r="H43" s="338"/>
      <c r="I43" s="339"/>
      <c r="J43" s="376"/>
      <c r="K43" s="374"/>
      <c r="L43" s="374"/>
      <c r="M43" s="374"/>
      <c r="N43" s="374"/>
      <c r="O43" s="375"/>
      <c r="P43" s="376"/>
      <c r="Q43" s="374"/>
      <c r="R43" s="374"/>
      <c r="S43" s="374"/>
      <c r="T43" s="374"/>
      <c r="U43" s="375"/>
      <c r="V43" s="365"/>
      <c r="W43" s="366"/>
      <c r="X43" s="366"/>
      <c r="Y43" s="366"/>
      <c r="Z43" s="366"/>
      <c r="AA43" s="367"/>
      <c r="AB43" s="348"/>
      <c r="AC43" s="345"/>
      <c r="AD43" s="343"/>
      <c r="AE43" s="343"/>
      <c r="AF43" s="343"/>
      <c r="AG43" s="344"/>
      <c r="AH43" s="356"/>
      <c r="AI43" s="357"/>
      <c r="AJ43" s="357"/>
      <c r="AK43" s="357"/>
      <c r="AL43" s="357"/>
      <c r="AM43" s="358"/>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row>
    <row r="44" spans="1:80" x14ac:dyDescent="0.25">
      <c r="A44" s="49"/>
      <c r="B44" s="296"/>
      <c r="C44" s="296"/>
      <c r="D44" s="297"/>
      <c r="E44" s="337"/>
      <c r="F44" s="338"/>
      <c r="G44" s="338"/>
      <c r="H44" s="338"/>
      <c r="I44" s="339"/>
      <c r="J44" s="376" t="e">
        <f>IF(AND('MAPA CORRUPCION'!#REF!="Muy Baja",'MAPA CORRUPCION'!#REF!="Leve"),CONCATENATE("R",'MAPA CORRUPCION'!#REF!),"")</f>
        <v>#REF!</v>
      </c>
      <c r="K44" s="374"/>
      <c r="L44" s="374" t="e">
        <f>IF(AND('MAPA CORRUPCION'!#REF!="Muy Baja",'MAPA CORRUPCION'!#REF!="Leve"),CONCATENATE("R",'MAPA CORRUPCION'!#REF!),"")</f>
        <v>#REF!</v>
      </c>
      <c r="M44" s="374"/>
      <c r="N44" s="374" t="str">
        <f>IF(AND('MAPA CORRUPCION'!$J$23="Muy Baja",'MAPA CORRUPCION'!$O$23="Leve"),CONCATENATE("R",'MAPA CORRUPCION'!$A$23),"")</f>
        <v/>
      </c>
      <c r="O44" s="375"/>
      <c r="P44" s="376" t="e">
        <f>IF(AND('MAPA CORRUPCION'!#REF!="Muy Baja",'MAPA CORRUPCION'!#REF!="Menor"),CONCATENATE("R",'MAPA CORRUPCION'!#REF!),"")</f>
        <v>#REF!</v>
      </c>
      <c r="Q44" s="374"/>
      <c r="R44" s="374" t="e">
        <f>IF(AND('MAPA CORRUPCION'!#REF!="Muy Baja",'MAPA CORRUPCION'!#REF!="Menor"),CONCATENATE("R",'MAPA CORRUPCION'!#REF!),"")</f>
        <v>#REF!</v>
      </c>
      <c r="S44" s="374"/>
      <c r="T44" s="374" t="str">
        <f>IF(AND('MAPA CORRUPCION'!$J$23="Muy Baja",'MAPA CORRUPCION'!$O$23="Menor"),CONCATENATE("R",'MAPA CORRUPCION'!$A$23),"")</f>
        <v/>
      </c>
      <c r="U44" s="375"/>
      <c r="V44" s="365" t="e">
        <f>IF(AND('MAPA CORRUPCION'!#REF!="Muy Baja",'MAPA CORRUPCION'!#REF!="Moderado"),CONCATENATE("R",'MAPA CORRUPCION'!#REF!),"")</f>
        <v>#REF!</v>
      </c>
      <c r="W44" s="366"/>
      <c r="X44" s="366" t="e">
        <f>IF(AND('MAPA CORRUPCION'!#REF!="Muy Baja",'MAPA CORRUPCION'!#REF!="Moderado"),CONCATENATE("R",'MAPA CORRUPCION'!#REF!),"")</f>
        <v>#REF!</v>
      </c>
      <c r="Y44" s="366"/>
      <c r="Z44" s="366" t="str">
        <f>IF(AND('MAPA CORRUPCION'!$J$23="Muy Baja",'MAPA CORRUPCION'!$O$23="Moderado"),CONCATENATE("R",'MAPA CORRUPCION'!$A$23),"")</f>
        <v/>
      </c>
      <c r="AA44" s="367"/>
      <c r="AB44" s="348" t="e">
        <f>IF(AND('MAPA CORRUPCION'!#REF!="Muy Baja",'MAPA CORRUPCION'!#REF!="Mayor"),CONCATENATE("R",'MAPA CORRUPCION'!#REF!),"")</f>
        <v>#REF!</v>
      </c>
      <c r="AC44" s="345"/>
      <c r="AD44" s="343" t="e">
        <f>IF(AND('MAPA CORRUPCION'!#REF!="Muy Baja",'MAPA CORRUPCION'!#REF!="Mayor"),CONCATENATE("R",'MAPA CORRUPCION'!#REF!),"")</f>
        <v>#REF!</v>
      </c>
      <c r="AE44" s="343"/>
      <c r="AF44" s="343" t="str">
        <f>IF(AND('MAPA CORRUPCION'!$J$23="Muy Baja",'MAPA CORRUPCION'!$O$23="Mayor"),CONCATENATE("R",'MAPA CORRUPCION'!$A$23),"")</f>
        <v/>
      </c>
      <c r="AG44" s="344"/>
      <c r="AH44" s="356" t="e">
        <f>IF(AND('MAPA CORRUPCION'!#REF!="Muy Baja",'MAPA CORRUPCION'!#REF!="Catastrófico"),CONCATENATE("R",'MAPA CORRUPCION'!#REF!),"")</f>
        <v>#REF!</v>
      </c>
      <c r="AI44" s="357"/>
      <c r="AJ44" s="357" t="e">
        <f>IF(AND('MAPA CORRUPCION'!#REF!="Muy Baja",'MAPA CORRUPCION'!#REF!="Catastrófico"),CONCATENATE("R",'MAPA CORRUPCION'!#REF!),"")</f>
        <v>#REF!</v>
      </c>
      <c r="AK44" s="357"/>
      <c r="AL44" s="357" t="str">
        <f>IF(AND('MAPA CORRUPCION'!$J$23="Muy Baja",'MAPA CORRUPCION'!$O$23="Catastrófico"),CONCATENATE("R",'MAPA CORRUPCION'!$A$23),"")</f>
        <v/>
      </c>
      <c r="AM44" s="358"/>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row>
    <row r="45" spans="1:80" ht="15.75" thickBot="1" x14ac:dyDescent="0.3">
      <c r="A45" s="49"/>
      <c r="B45" s="296"/>
      <c r="C45" s="296"/>
      <c r="D45" s="297"/>
      <c r="E45" s="340"/>
      <c r="F45" s="341"/>
      <c r="G45" s="341"/>
      <c r="H45" s="341"/>
      <c r="I45" s="342"/>
      <c r="J45" s="377"/>
      <c r="K45" s="378"/>
      <c r="L45" s="378"/>
      <c r="M45" s="378"/>
      <c r="N45" s="378"/>
      <c r="O45" s="379"/>
      <c r="P45" s="377"/>
      <c r="Q45" s="378"/>
      <c r="R45" s="378"/>
      <c r="S45" s="378"/>
      <c r="T45" s="378"/>
      <c r="U45" s="379"/>
      <c r="V45" s="368"/>
      <c r="W45" s="369"/>
      <c r="X45" s="369"/>
      <c r="Y45" s="369"/>
      <c r="Z45" s="369"/>
      <c r="AA45" s="370"/>
      <c r="AB45" s="353"/>
      <c r="AC45" s="354"/>
      <c r="AD45" s="354"/>
      <c r="AE45" s="354"/>
      <c r="AF45" s="354"/>
      <c r="AG45" s="355"/>
      <c r="AH45" s="359"/>
      <c r="AI45" s="360"/>
      <c r="AJ45" s="360"/>
      <c r="AK45" s="360"/>
      <c r="AL45" s="360"/>
      <c r="AM45" s="361"/>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row>
    <row r="46" spans="1:80" x14ac:dyDescent="0.25">
      <c r="A46" s="49"/>
      <c r="B46" s="49"/>
      <c r="C46" s="49"/>
      <c r="D46" s="49"/>
      <c r="E46" s="49"/>
      <c r="F46" s="49"/>
      <c r="G46" s="49"/>
      <c r="H46" s="49"/>
      <c r="I46" s="49"/>
      <c r="J46" s="334" t="s">
        <v>97</v>
      </c>
      <c r="K46" s="335"/>
      <c r="L46" s="335"/>
      <c r="M46" s="335"/>
      <c r="N46" s="335"/>
      <c r="O46" s="336"/>
      <c r="P46" s="334" t="s">
        <v>96</v>
      </c>
      <c r="Q46" s="335"/>
      <c r="R46" s="335"/>
      <c r="S46" s="335"/>
      <c r="T46" s="335"/>
      <c r="U46" s="336"/>
      <c r="V46" s="334" t="s">
        <v>95</v>
      </c>
      <c r="W46" s="335"/>
      <c r="X46" s="335"/>
      <c r="Y46" s="335"/>
      <c r="Z46" s="335"/>
      <c r="AA46" s="336"/>
      <c r="AB46" s="334" t="s">
        <v>94</v>
      </c>
      <c r="AC46" s="352"/>
      <c r="AD46" s="335"/>
      <c r="AE46" s="335"/>
      <c r="AF46" s="335"/>
      <c r="AG46" s="336"/>
      <c r="AH46" s="334" t="s">
        <v>93</v>
      </c>
      <c r="AI46" s="335"/>
      <c r="AJ46" s="335"/>
      <c r="AK46" s="335"/>
      <c r="AL46" s="335"/>
      <c r="AM46" s="336"/>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row>
    <row r="47" spans="1:80" x14ac:dyDescent="0.25">
      <c r="A47" s="49"/>
      <c r="B47" s="49"/>
      <c r="C47" s="49"/>
      <c r="D47" s="49"/>
      <c r="E47" s="49"/>
      <c r="F47" s="49"/>
      <c r="G47" s="49"/>
      <c r="H47" s="49"/>
      <c r="I47" s="49"/>
      <c r="J47" s="337"/>
      <c r="K47" s="338"/>
      <c r="L47" s="338"/>
      <c r="M47" s="338"/>
      <c r="N47" s="338"/>
      <c r="O47" s="339"/>
      <c r="P47" s="337"/>
      <c r="Q47" s="338"/>
      <c r="R47" s="338"/>
      <c r="S47" s="338"/>
      <c r="T47" s="338"/>
      <c r="U47" s="339"/>
      <c r="V47" s="337"/>
      <c r="W47" s="338"/>
      <c r="X47" s="338"/>
      <c r="Y47" s="338"/>
      <c r="Z47" s="338"/>
      <c r="AA47" s="339"/>
      <c r="AB47" s="337"/>
      <c r="AC47" s="338"/>
      <c r="AD47" s="338"/>
      <c r="AE47" s="338"/>
      <c r="AF47" s="338"/>
      <c r="AG47" s="339"/>
      <c r="AH47" s="337"/>
      <c r="AI47" s="338"/>
      <c r="AJ47" s="338"/>
      <c r="AK47" s="338"/>
      <c r="AL47" s="338"/>
      <c r="AM47" s="33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row>
    <row r="48" spans="1:80" x14ac:dyDescent="0.25">
      <c r="A48" s="49"/>
      <c r="B48" s="49"/>
      <c r="C48" s="49"/>
      <c r="D48" s="49"/>
      <c r="E48" s="49"/>
      <c r="F48" s="49"/>
      <c r="G48" s="49"/>
      <c r="H48" s="49"/>
      <c r="I48" s="49"/>
      <c r="J48" s="337"/>
      <c r="K48" s="338"/>
      <c r="L48" s="338"/>
      <c r="M48" s="338"/>
      <c r="N48" s="338"/>
      <c r="O48" s="339"/>
      <c r="P48" s="337"/>
      <c r="Q48" s="338"/>
      <c r="R48" s="338"/>
      <c r="S48" s="338"/>
      <c r="T48" s="338"/>
      <c r="U48" s="339"/>
      <c r="V48" s="337"/>
      <c r="W48" s="338"/>
      <c r="X48" s="338"/>
      <c r="Y48" s="338"/>
      <c r="Z48" s="338"/>
      <c r="AA48" s="339"/>
      <c r="AB48" s="337"/>
      <c r="AC48" s="338"/>
      <c r="AD48" s="338"/>
      <c r="AE48" s="338"/>
      <c r="AF48" s="338"/>
      <c r="AG48" s="339"/>
      <c r="AH48" s="337"/>
      <c r="AI48" s="338"/>
      <c r="AJ48" s="338"/>
      <c r="AK48" s="338"/>
      <c r="AL48" s="338"/>
      <c r="AM48" s="33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row>
    <row r="49" spans="1:80" x14ac:dyDescent="0.25">
      <c r="A49" s="49"/>
      <c r="B49" s="49"/>
      <c r="C49" s="49"/>
      <c r="D49" s="49"/>
      <c r="E49" s="49"/>
      <c r="F49" s="49"/>
      <c r="G49" s="49"/>
      <c r="H49" s="49"/>
      <c r="I49" s="49"/>
      <c r="J49" s="337"/>
      <c r="K49" s="338"/>
      <c r="L49" s="338"/>
      <c r="M49" s="338"/>
      <c r="N49" s="338"/>
      <c r="O49" s="339"/>
      <c r="P49" s="337"/>
      <c r="Q49" s="338"/>
      <c r="R49" s="338"/>
      <c r="S49" s="338"/>
      <c r="T49" s="338"/>
      <c r="U49" s="339"/>
      <c r="V49" s="337"/>
      <c r="W49" s="338"/>
      <c r="X49" s="338"/>
      <c r="Y49" s="338"/>
      <c r="Z49" s="338"/>
      <c r="AA49" s="339"/>
      <c r="AB49" s="337"/>
      <c r="AC49" s="338"/>
      <c r="AD49" s="338"/>
      <c r="AE49" s="338"/>
      <c r="AF49" s="338"/>
      <c r="AG49" s="339"/>
      <c r="AH49" s="337"/>
      <c r="AI49" s="338"/>
      <c r="AJ49" s="338"/>
      <c r="AK49" s="338"/>
      <c r="AL49" s="338"/>
      <c r="AM49" s="33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row>
    <row r="50" spans="1:80" x14ac:dyDescent="0.25">
      <c r="A50" s="49"/>
      <c r="B50" s="49"/>
      <c r="C50" s="49"/>
      <c r="D50" s="49"/>
      <c r="E50" s="49"/>
      <c r="F50" s="49"/>
      <c r="G50" s="49"/>
      <c r="H50" s="49"/>
      <c r="I50" s="49"/>
      <c r="J50" s="337"/>
      <c r="K50" s="338"/>
      <c r="L50" s="338"/>
      <c r="M50" s="338"/>
      <c r="N50" s="338"/>
      <c r="O50" s="339"/>
      <c r="P50" s="337"/>
      <c r="Q50" s="338"/>
      <c r="R50" s="338"/>
      <c r="S50" s="338"/>
      <c r="T50" s="338"/>
      <c r="U50" s="339"/>
      <c r="V50" s="337"/>
      <c r="W50" s="338"/>
      <c r="X50" s="338"/>
      <c r="Y50" s="338"/>
      <c r="Z50" s="338"/>
      <c r="AA50" s="339"/>
      <c r="AB50" s="337"/>
      <c r="AC50" s="338"/>
      <c r="AD50" s="338"/>
      <c r="AE50" s="338"/>
      <c r="AF50" s="338"/>
      <c r="AG50" s="339"/>
      <c r="AH50" s="337"/>
      <c r="AI50" s="338"/>
      <c r="AJ50" s="338"/>
      <c r="AK50" s="338"/>
      <c r="AL50" s="338"/>
      <c r="AM50" s="33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row>
    <row r="51" spans="1:80" ht="15.75" thickBot="1" x14ac:dyDescent="0.3">
      <c r="A51" s="49"/>
      <c r="B51" s="49"/>
      <c r="C51" s="49"/>
      <c r="D51" s="49"/>
      <c r="E51" s="49"/>
      <c r="F51" s="49"/>
      <c r="G51" s="49"/>
      <c r="H51" s="49"/>
      <c r="I51" s="49"/>
      <c r="J51" s="340"/>
      <c r="K51" s="341"/>
      <c r="L51" s="341"/>
      <c r="M51" s="341"/>
      <c r="N51" s="341"/>
      <c r="O51" s="342"/>
      <c r="P51" s="340"/>
      <c r="Q51" s="341"/>
      <c r="R51" s="341"/>
      <c r="S51" s="341"/>
      <c r="T51" s="341"/>
      <c r="U51" s="342"/>
      <c r="V51" s="340"/>
      <c r="W51" s="341"/>
      <c r="X51" s="341"/>
      <c r="Y51" s="341"/>
      <c r="Z51" s="341"/>
      <c r="AA51" s="342"/>
      <c r="AB51" s="340"/>
      <c r="AC51" s="341"/>
      <c r="AD51" s="341"/>
      <c r="AE51" s="341"/>
      <c r="AF51" s="341"/>
      <c r="AG51" s="342"/>
      <c r="AH51" s="340"/>
      <c r="AI51" s="341"/>
      <c r="AJ51" s="341"/>
      <c r="AK51" s="341"/>
      <c r="AL51" s="341"/>
      <c r="AM51" s="342"/>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row>
    <row r="52" spans="1:80" x14ac:dyDescent="0.2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row>
    <row r="53" spans="1:80" ht="15" customHeight="1" x14ac:dyDescent="0.25">
      <c r="A53" s="49"/>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row>
    <row r="54" spans="1:80" ht="15" customHeight="1" x14ac:dyDescent="0.25">
      <c r="A54" s="4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row>
    <row r="55" spans="1:80" x14ac:dyDescent="0.2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row>
    <row r="56" spans="1:80" x14ac:dyDescent="0.2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row>
    <row r="57" spans="1:80" x14ac:dyDescent="0.2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row>
    <row r="58" spans="1:80" x14ac:dyDescent="0.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1:80" x14ac:dyDescent="0.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row>
    <row r="60" spans="1:80" x14ac:dyDescent="0.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1:80" x14ac:dyDescent="0.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row>
    <row r="62" spans="1:80" x14ac:dyDescent="0.2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row>
    <row r="63" spans="1:80" x14ac:dyDescent="0.2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row>
    <row r="64" spans="1:80" x14ac:dyDescent="0.2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row>
    <row r="65" spans="1:80" x14ac:dyDescent="0.2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row>
    <row r="66" spans="1:80" x14ac:dyDescent="0.2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row>
    <row r="67" spans="1:80" x14ac:dyDescent="0.2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row>
    <row r="68" spans="1:80"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row>
    <row r="69" spans="1:80" x14ac:dyDescent="0.2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row>
    <row r="70" spans="1:80" x14ac:dyDescent="0.2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row>
    <row r="71" spans="1:80"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row>
    <row r="72" spans="1:80"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row>
    <row r="73" spans="1:80"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row>
    <row r="74" spans="1:80"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row>
    <row r="75" spans="1:80"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row>
    <row r="76" spans="1:80"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row>
    <row r="77" spans="1:80"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row>
    <row r="78" spans="1:80" x14ac:dyDescent="0.2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row>
    <row r="79" spans="1:80"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row>
    <row r="80" spans="1:80"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row>
    <row r="81" spans="1:63"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row>
    <row r="82" spans="1:63"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row>
    <row r="83" spans="1:63"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row>
    <row r="84" spans="1:63"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row>
    <row r="85" spans="1:63"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row>
    <row r="86" spans="1:63"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row>
    <row r="87" spans="1:63"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row>
    <row r="88" spans="1:63"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row>
    <row r="89" spans="1:63"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row>
    <row r="90" spans="1:63"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row>
    <row r="91" spans="1:63"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row>
    <row r="92" spans="1:63"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row>
    <row r="93" spans="1:63"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row>
    <row r="94" spans="1:63"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row>
    <row r="95" spans="1:63"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row>
    <row r="96" spans="1:63"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row>
    <row r="97" spans="1:63" x14ac:dyDescent="0.2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row>
    <row r="98" spans="1:63" x14ac:dyDescent="0.2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row>
    <row r="99" spans="1:63" x14ac:dyDescent="0.2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row>
    <row r="100" spans="1:63" x14ac:dyDescent="0.2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row>
    <row r="101" spans="1:63" x14ac:dyDescent="0.2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row>
    <row r="102" spans="1:63" x14ac:dyDescent="0.2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row>
    <row r="103" spans="1:63" x14ac:dyDescent="0.2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row>
    <row r="104" spans="1:63" x14ac:dyDescent="0.2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row>
    <row r="105" spans="1:63" x14ac:dyDescent="0.2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row>
    <row r="106" spans="1:63" x14ac:dyDescent="0.2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row>
    <row r="107" spans="1:63" x14ac:dyDescent="0.2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row>
    <row r="108" spans="1:63" x14ac:dyDescent="0.2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row>
    <row r="109" spans="1:63" x14ac:dyDescent="0.2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row>
    <row r="110" spans="1:63" x14ac:dyDescent="0.2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row>
    <row r="111" spans="1:63" x14ac:dyDescent="0.2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row>
    <row r="112" spans="1:63" x14ac:dyDescent="0.2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row>
    <row r="113" spans="1:63" x14ac:dyDescent="0.2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row>
    <row r="114" spans="1:63" x14ac:dyDescent="0.2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row>
    <row r="115" spans="1:63" x14ac:dyDescent="0.2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row>
    <row r="116" spans="1:63" x14ac:dyDescent="0.2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row>
    <row r="117" spans="1:63" x14ac:dyDescent="0.2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row>
    <row r="118" spans="1:63" x14ac:dyDescent="0.2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row>
    <row r="119" spans="1:63" x14ac:dyDescent="0.2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row>
    <row r="120" spans="1:63" x14ac:dyDescent="0.2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row>
    <row r="121" spans="1:63" x14ac:dyDescent="0.2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row>
    <row r="122" spans="1:63" x14ac:dyDescent="0.2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row>
    <row r="123" spans="1:63" x14ac:dyDescent="0.2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row>
    <row r="124" spans="1:63" x14ac:dyDescent="0.2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row>
    <row r="125" spans="1:63" x14ac:dyDescent="0.2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row>
    <row r="126" spans="1:63" x14ac:dyDescent="0.2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row>
    <row r="127" spans="1:63" x14ac:dyDescent="0.2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row>
    <row r="128" spans="1:63" x14ac:dyDescent="0.2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row>
    <row r="129" spans="2:63" x14ac:dyDescent="0.2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row>
    <row r="130" spans="2:63" x14ac:dyDescent="0.2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row>
    <row r="131" spans="2:63" x14ac:dyDescent="0.2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row>
    <row r="132" spans="2:63" x14ac:dyDescent="0.2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row>
    <row r="133" spans="2:63" x14ac:dyDescent="0.25">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row>
    <row r="134" spans="2:63" x14ac:dyDescent="0.25">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row>
    <row r="135" spans="2:63" x14ac:dyDescent="0.2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row>
    <row r="136" spans="2:63" x14ac:dyDescent="0.25">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row>
    <row r="137" spans="2:63" x14ac:dyDescent="0.25">
      <c r="B137" s="49"/>
      <c r="C137" s="49"/>
      <c r="D137" s="49"/>
      <c r="E137" s="49"/>
      <c r="F137" s="49"/>
      <c r="G137" s="49"/>
      <c r="H137" s="49"/>
      <c r="I137" s="49"/>
    </row>
    <row r="138" spans="2:63" x14ac:dyDescent="0.25">
      <c r="B138" s="49"/>
      <c r="C138" s="49"/>
      <c r="D138" s="49"/>
      <c r="E138" s="49"/>
      <c r="F138" s="49"/>
      <c r="G138" s="49"/>
      <c r="H138" s="49"/>
      <c r="I138" s="49"/>
    </row>
    <row r="139" spans="2:63" x14ac:dyDescent="0.25">
      <c r="B139" s="49"/>
      <c r="C139" s="49"/>
      <c r="D139" s="49"/>
      <c r="E139" s="49"/>
      <c r="F139" s="49"/>
      <c r="G139" s="49"/>
      <c r="H139" s="49"/>
      <c r="I139" s="49"/>
    </row>
    <row r="140" spans="2:63" x14ac:dyDescent="0.25">
      <c r="B140" s="49"/>
      <c r="C140" s="49"/>
      <c r="D140" s="49"/>
      <c r="E140" s="49"/>
      <c r="F140" s="49"/>
      <c r="G140" s="49"/>
      <c r="H140" s="49"/>
      <c r="I140" s="49"/>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rintOptions horizontalCentered="1"/>
  <pageMargins left="0.70866141732283472" right="0.70866141732283472" top="0.74803149606299213" bottom="0.74803149606299213" header="0.31496062992125984" footer="0.31496062992125984"/>
  <pageSetup scale="35" orientation="landscape"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M248"/>
  <sheetViews>
    <sheetView zoomScale="50" zoomScaleNormal="50" workbookViewId="0">
      <selection activeCell="C66" sqref="C6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row>
    <row r="2" spans="1:91" ht="18" customHeight="1" x14ac:dyDescent="0.25">
      <c r="A2" s="49"/>
      <c r="B2" s="410" t="s">
        <v>141</v>
      </c>
      <c r="C2" s="411"/>
      <c r="D2" s="411"/>
      <c r="E2" s="411"/>
      <c r="F2" s="411"/>
      <c r="G2" s="411"/>
      <c r="H2" s="411"/>
      <c r="I2" s="411"/>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row>
    <row r="3" spans="1:91" ht="18.75" customHeight="1" x14ac:dyDescent="0.25">
      <c r="A3" s="49"/>
      <c r="B3" s="411"/>
      <c r="C3" s="411"/>
      <c r="D3" s="411"/>
      <c r="E3" s="411"/>
      <c r="F3" s="411"/>
      <c r="G3" s="411"/>
      <c r="H3" s="411"/>
      <c r="I3" s="411"/>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row>
    <row r="4" spans="1:91" ht="15" customHeight="1" x14ac:dyDescent="0.25">
      <c r="A4" s="49"/>
      <c r="B4" s="411"/>
      <c r="C4" s="411"/>
      <c r="D4" s="411"/>
      <c r="E4" s="411"/>
      <c r="F4" s="411"/>
      <c r="G4" s="411"/>
      <c r="H4" s="411"/>
      <c r="I4" s="411"/>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row>
    <row r="5" spans="1:91" ht="15.75" thickBot="1" x14ac:dyDescent="0.3">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row>
    <row r="6" spans="1:91" ht="15" customHeight="1" x14ac:dyDescent="0.25">
      <c r="A6" s="49"/>
      <c r="B6" s="296" t="s">
        <v>4</v>
      </c>
      <c r="C6" s="296"/>
      <c r="D6" s="297"/>
      <c r="E6" s="393" t="s">
        <v>101</v>
      </c>
      <c r="F6" s="394"/>
      <c r="G6" s="394"/>
      <c r="H6" s="394"/>
      <c r="I6" s="412"/>
      <c r="J6" s="11" t="str">
        <f>IF(AND('MAPA CORRUPCION'!$AB$5="Muy Alta",'MAPA CORRUPCION'!$AD$5="Leve"),CONCATENATE("R1C",'MAPA CORRUPCION'!$R$5),"")</f>
        <v/>
      </c>
      <c r="K6" s="12" t="e">
        <f>IF(AND('MAPA CORRUPCION'!#REF!="Muy Alta",'MAPA CORRUPCION'!#REF!="Leve"),CONCATENATE("R1C",'MAPA CORRUPCION'!#REF!),"")</f>
        <v>#REF!</v>
      </c>
      <c r="L6" s="12" t="e">
        <f>IF(AND('MAPA CORRUPCION'!#REF!="Muy Alta",'MAPA CORRUPCION'!#REF!="Leve"),CONCATENATE("R1C",'MAPA CORRUPCION'!#REF!),"")</f>
        <v>#REF!</v>
      </c>
      <c r="M6" s="12" t="e">
        <f>IF(AND('MAPA CORRUPCION'!#REF!="Muy Alta",'MAPA CORRUPCION'!#REF!="Leve"),CONCATENATE("R1C",'MAPA CORRUPCION'!#REF!),"")</f>
        <v>#REF!</v>
      </c>
      <c r="N6" s="12" t="e">
        <f>IF(AND('MAPA CORRUPCION'!#REF!="Muy Alta",'MAPA CORRUPCION'!#REF!="Leve"),CONCATENATE("R1C",'MAPA CORRUPCION'!#REF!),"")</f>
        <v>#REF!</v>
      </c>
      <c r="O6" s="13" t="e">
        <f>IF(AND('MAPA CORRUPCION'!#REF!="Muy Alta",'MAPA CORRUPCION'!#REF!="Leve"),CONCATENATE("R1C",'MAPA CORRUPCION'!#REF!),"")</f>
        <v>#REF!</v>
      </c>
      <c r="P6" s="11" t="str">
        <f>IF(AND('MAPA CORRUPCION'!$AB$5="Muy Alta",'MAPA CORRUPCION'!$AD$5="Menor"),CONCATENATE("R1C",'MAPA CORRUPCION'!$R$5),"")</f>
        <v/>
      </c>
      <c r="Q6" s="12" t="e">
        <f>IF(AND('MAPA CORRUPCION'!#REF!="Muy Alta",'MAPA CORRUPCION'!#REF!="Menor"),CONCATENATE("R1C",'MAPA CORRUPCION'!#REF!),"")</f>
        <v>#REF!</v>
      </c>
      <c r="R6" s="12" t="e">
        <f>IF(AND('MAPA CORRUPCION'!#REF!="Muy Alta",'MAPA CORRUPCION'!#REF!="Menor"),CONCATENATE("R1C",'MAPA CORRUPCION'!#REF!),"")</f>
        <v>#REF!</v>
      </c>
      <c r="S6" s="12" t="e">
        <f>IF(AND('MAPA CORRUPCION'!#REF!="Muy Alta",'MAPA CORRUPCION'!#REF!="Menor"),CONCATENATE("R1C",'MAPA CORRUPCION'!#REF!),"")</f>
        <v>#REF!</v>
      </c>
      <c r="T6" s="12" t="e">
        <f>IF(AND('MAPA CORRUPCION'!#REF!="Muy Alta",'MAPA CORRUPCION'!#REF!="Menor"),CONCATENATE("R1C",'MAPA CORRUPCION'!#REF!),"")</f>
        <v>#REF!</v>
      </c>
      <c r="U6" s="13" t="e">
        <f>IF(AND('MAPA CORRUPCION'!#REF!="Muy Alta",'MAPA CORRUPCION'!#REF!="Menor"),CONCATENATE("R1C",'MAPA CORRUPCION'!#REF!),"")</f>
        <v>#REF!</v>
      </c>
      <c r="V6" s="11" t="str">
        <f>IF(AND('MAPA CORRUPCION'!$AB$5="Muy Alta",'MAPA CORRUPCION'!$AD$5="Moderado"),CONCATENATE("R1C",'MAPA CORRUPCION'!$R$5),"")</f>
        <v/>
      </c>
      <c r="W6" s="12" t="e">
        <f>IF(AND('MAPA CORRUPCION'!#REF!="Muy Alta",'MAPA CORRUPCION'!#REF!="Moderado"),CONCATENATE("R1C",'MAPA CORRUPCION'!#REF!),"")</f>
        <v>#REF!</v>
      </c>
      <c r="X6" s="12" t="e">
        <f>IF(AND('MAPA CORRUPCION'!#REF!="Muy Alta",'MAPA CORRUPCION'!#REF!="Moderado"),CONCATENATE("R1C",'MAPA CORRUPCION'!#REF!),"")</f>
        <v>#REF!</v>
      </c>
      <c r="Y6" s="12" t="e">
        <f>IF(AND('MAPA CORRUPCION'!#REF!="Muy Alta",'MAPA CORRUPCION'!#REF!="Moderado"),CONCATENATE("R1C",'MAPA CORRUPCION'!#REF!),"")</f>
        <v>#REF!</v>
      </c>
      <c r="Z6" s="12" t="e">
        <f>IF(AND('MAPA CORRUPCION'!#REF!="Muy Alta",'MAPA CORRUPCION'!#REF!="Moderado"),CONCATENATE("R1C",'MAPA CORRUPCION'!#REF!),"")</f>
        <v>#REF!</v>
      </c>
      <c r="AA6" s="13" t="e">
        <f>IF(AND('MAPA CORRUPCION'!#REF!="Muy Alta",'MAPA CORRUPCION'!#REF!="Moderado"),CONCATENATE("R1C",'MAPA CORRUPCION'!#REF!),"")</f>
        <v>#REF!</v>
      </c>
      <c r="AB6" s="11" t="str">
        <f>IF(AND('MAPA CORRUPCION'!$AB$5="Muy Alta",'MAPA CORRUPCION'!$AD$5="Mayor"),CONCATENATE("R1C",'MAPA CORRUPCION'!$R$5),"")</f>
        <v/>
      </c>
      <c r="AC6" s="12" t="e">
        <f>IF(AND('MAPA CORRUPCION'!#REF!="Muy Alta",'MAPA CORRUPCION'!#REF!="Mayor"),CONCATENATE("R1C",'MAPA CORRUPCION'!#REF!),"")</f>
        <v>#REF!</v>
      </c>
      <c r="AD6" s="12" t="e">
        <f>IF(AND('MAPA CORRUPCION'!#REF!="Muy Alta",'MAPA CORRUPCION'!#REF!="Mayor"),CONCATENATE("R1C",'MAPA CORRUPCION'!#REF!),"")</f>
        <v>#REF!</v>
      </c>
      <c r="AE6" s="12" t="e">
        <f>IF(AND('MAPA CORRUPCION'!#REF!="Muy Alta",'MAPA CORRUPCION'!#REF!="Mayor"),CONCATENATE("R1C",'MAPA CORRUPCION'!#REF!),"")</f>
        <v>#REF!</v>
      </c>
      <c r="AF6" s="12" t="e">
        <f>IF(AND('MAPA CORRUPCION'!#REF!="Muy Alta",'MAPA CORRUPCION'!#REF!="Mayor"),CONCATENATE("R1C",'MAPA CORRUPCION'!#REF!),"")</f>
        <v>#REF!</v>
      </c>
      <c r="AG6" s="13" t="e">
        <f>IF(AND('MAPA CORRUPCION'!#REF!="Muy Alta",'MAPA CORRUPCION'!#REF!="Mayor"),CONCATENATE("R1C",'MAPA CORRUPCION'!#REF!),"")</f>
        <v>#REF!</v>
      </c>
      <c r="AH6" s="14" t="str">
        <f>IF(AND('MAPA CORRUPCION'!$AB$5="Muy Alta",'MAPA CORRUPCION'!$AD$5="Catastrófico"),CONCATENATE("R1C",'MAPA CORRUPCION'!$R$5),"")</f>
        <v/>
      </c>
      <c r="AI6" s="15" t="e">
        <f>IF(AND('MAPA CORRUPCION'!#REF!="Muy Alta",'MAPA CORRUPCION'!#REF!="Catastrófico"),CONCATENATE("R1C",'MAPA CORRUPCION'!#REF!),"")</f>
        <v>#REF!</v>
      </c>
      <c r="AJ6" s="15" t="e">
        <f>IF(AND('MAPA CORRUPCION'!#REF!="Muy Alta",'MAPA CORRUPCION'!#REF!="Catastrófico"),CONCATENATE("R1C",'MAPA CORRUPCION'!#REF!),"")</f>
        <v>#REF!</v>
      </c>
      <c r="AK6" s="15" t="e">
        <f>IF(AND('MAPA CORRUPCION'!#REF!="Muy Alta",'MAPA CORRUPCION'!#REF!="Catastrófico"),CONCATENATE("R1C",'MAPA CORRUPCION'!#REF!),"")</f>
        <v>#REF!</v>
      </c>
      <c r="AL6" s="15" t="e">
        <f>IF(AND('MAPA CORRUPCION'!#REF!="Muy Alta",'MAPA CORRUPCION'!#REF!="Catastrófico"),CONCATENATE("R1C",'MAPA CORRUPCION'!#REF!),"")</f>
        <v>#REF!</v>
      </c>
      <c r="AM6" s="16" t="e">
        <f>IF(AND('MAPA CORRUPCION'!#REF!="Muy Alta",'MAPA CORRUPCION'!#REF!="Catastrófico"),CONCATENATE("R1C",'MAPA CORRUPCION'!#REF!),"")</f>
        <v>#REF!</v>
      </c>
      <c r="AN6" s="49"/>
      <c r="AO6" s="401" t="s">
        <v>68</v>
      </c>
      <c r="AP6" s="402"/>
      <c r="AQ6" s="402"/>
      <c r="AR6" s="402"/>
      <c r="AS6" s="402"/>
      <c r="AT6" s="403"/>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row>
    <row r="7" spans="1:91" ht="15" customHeight="1" x14ac:dyDescent="0.25">
      <c r="A7" s="49"/>
      <c r="B7" s="296"/>
      <c r="C7" s="296"/>
      <c r="D7" s="297"/>
      <c r="E7" s="397"/>
      <c r="F7" s="398"/>
      <c r="G7" s="398"/>
      <c r="H7" s="398"/>
      <c r="I7" s="413"/>
      <c r="J7" s="17" t="str">
        <f>IF(AND('MAPA CORRUPCION'!$AB$6="Muy Alta",'MAPA CORRUPCION'!$AD$6="Leve"),CONCATENATE("R2C",'MAPA CORRUPCION'!$R$6),"")</f>
        <v/>
      </c>
      <c r="K7" s="18" t="str">
        <f>IF(AND('MAPA CORRUPCION'!$AB$7="Muy Alta",'MAPA CORRUPCION'!$AD$7="Leve"),CONCATENATE("R2C",'MAPA CORRUPCION'!$R$7),"")</f>
        <v/>
      </c>
      <c r="L7" s="18" t="str">
        <f>IF(AND('MAPA CORRUPCION'!$AB$8="Muy Alta",'MAPA CORRUPCION'!$AD$8="Leve"),CONCATENATE("R2C",'MAPA CORRUPCION'!$R$8),"")</f>
        <v/>
      </c>
      <c r="M7" s="18" t="str">
        <f>IF(AND('MAPA CORRUPCION'!$AB$9="Muy Alta",'MAPA CORRUPCION'!$AD$9="Leve"),CONCATENATE("R2C",'MAPA CORRUPCION'!$R$9),"")</f>
        <v/>
      </c>
      <c r="N7" s="18" t="e">
        <f>IF(AND('MAPA CORRUPCION'!#REF!="Muy Alta",'MAPA CORRUPCION'!#REF!="Leve"),CONCATENATE("R2C",'MAPA CORRUPCION'!#REF!),"")</f>
        <v>#REF!</v>
      </c>
      <c r="O7" s="19" t="e">
        <f>IF(AND('MAPA CORRUPCION'!#REF!="Muy Alta",'MAPA CORRUPCION'!#REF!="Leve"),CONCATENATE("R2C",'MAPA CORRUPCION'!#REF!),"")</f>
        <v>#REF!</v>
      </c>
      <c r="P7" s="17" t="str">
        <f>IF(AND('MAPA CORRUPCION'!$AB$6="Muy Alta",'MAPA CORRUPCION'!$AD$6="Menor"),CONCATENATE("R2C",'MAPA CORRUPCION'!$R$6),"")</f>
        <v/>
      </c>
      <c r="Q7" s="18" t="str">
        <f>IF(AND('MAPA CORRUPCION'!$AB$7="Muy Alta",'MAPA CORRUPCION'!$AD$7="Menor"),CONCATENATE("R2C",'MAPA CORRUPCION'!$R$7),"")</f>
        <v/>
      </c>
      <c r="R7" s="18" t="str">
        <f>IF(AND('MAPA CORRUPCION'!$AB$8="Muy Alta",'MAPA CORRUPCION'!$AD$8="Menor"),CONCATENATE("R2C",'MAPA CORRUPCION'!$R$8),"")</f>
        <v/>
      </c>
      <c r="S7" s="18" t="str">
        <f>IF(AND('MAPA CORRUPCION'!$AB$9="Muy Alta",'MAPA CORRUPCION'!$AD$9="Menor"),CONCATENATE("R2C",'MAPA CORRUPCION'!$R$9),"")</f>
        <v/>
      </c>
      <c r="T7" s="18" t="e">
        <f>IF(AND('MAPA CORRUPCION'!#REF!="Muy Alta",'MAPA CORRUPCION'!#REF!="Menor"),CONCATENATE("R2C",'MAPA CORRUPCION'!#REF!),"")</f>
        <v>#REF!</v>
      </c>
      <c r="U7" s="19" t="e">
        <f>IF(AND('MAPA CORRUPCION'!#REF!="Muy Alta",'MAPA CORRUPCION'!#REF!="Menor"),CONCATENATE("R2C",'MAPA CORRUPCION'!#REF!),"")</f>
        <v>#REF!</v>
      </c>
      <c r="V7" s="17" t="str">
        <f>IF(AND('MAPA CORRUPCION'!$AB$6="Muy Alta",'MAPA CORRUPCION'!$AD$6="Moderado"),CONCATENATE("R2C",'MAPA CORRUPCION'!$R$6),"")</f>
        <v/>
      </c>
      <c r="W7" s="18" t="str">
        <f>IF(AND('MAPA CORRUPCION'!$AB$7="Muy Alta",'MAPA CORRUPCION'!$AD$7="Moderado"),CONCATENATE("R2C",'MAPA CORRUPCION'!$R$7),"")</f>
        <v/>
      </c>
      <c r="X7" s="18" t="str">
        <f>IF(AND('MAPA CORRUPCION'!$AB$8="Muy Alta",'MAPA CORRUPCION'!$AD$8="Moderado"),CONCATENATE("R2C",'MAPA CORRUPCION'!$R$8),"")</f>
        <v/>
      </c>
      <c r="Y7" s="18" t="str">
        <f>IF(AND('MAPA CORRUPCION'!$AB$9="Muy Alta",'MAPA CORRUPCION'!$AD$9="Moderado"),CONCATENATE("R2C",'MAPA CORRUPCION'!$R$9),"")</f>
        <v/>
      </c>
      <c r="Z7" s="18" t="e">
        <f>IF(AND('MAPA CORRUPCION'!#REF!="Muy Alta",'MAPA CORRUPCION'!#REF!="Moderado"),CONCATENATE("R2C",'MAPA CORRUPCION'!#REF!),"")</f>
        <v>#REF!</v>
      </c>
      <c r="AA7" s="19" t="e">
        <f>IF(AND('MAPA CORRUPCION'!#REF!="Muy Alta",'MAPA CORRUPCION'!#REF!="Moderado"),CONCATENATE("R2C",'MAPA CORRUPCION'!#REF!),"")</f>
        <v>#REF!</v>
      </c>
      <c r="AB7" s="17" t="str">
        <f>IF(AND('MAPA CORRUPCION'!$AB$6="Muy Alta",'MAPA CORRUPCION'!$AD$6="Mayor"),CONCATENATE("R2C",'MAPA CORRUPCION'!$R$6),"")</f>
        <v/>
      </c>
      <c r="AC7" s="18" t="str">
        <f>IF(AND('MAPA CORRUPCION'!$AB$7="Muy Alta",'MAPA CORRUPCION'!$AD$7="Mayor"),CONCATENATE("R2C",'MAPA CORRUPCION'!$R$7),"")</f>
        <v/>
      </c>
      <c r="AD7" s="18" t="str">
        <f>IF(AND('MAPA CORRUPCION'!$AB$8="Muy Alta",'MAPA CORRUPCION'!$AD$8="Mayor"),CONCATENATE("R2C",'MAPA CORRUPCION'!$R$8),"")</f>
        <v/>
      </c>
      <c r="AE7" s="18" t="str">
        <f>IF(AND('MAPA CORRUPCION'!$AB$9="Muy Alta",'MAPA CORRUPCION'!$AD$9="Mayor"),CONCATENATE("R2C",'MAPA CORRUPCION'!$R$9),"")</f>
        <v/>
      </c>
      <c r="AF7" s="18" t="e">
        <f>IF(AND('MAPA CORRUPCION'!#REF!="Muy Alta",'MAPA CORRUPCION'!#REF!="Mayor"),CONCATENATE("R2C",'MAPA CORRUPCION'!#REF!),"")</f>
        <v>#REF!</v>
      </c>
      <c r="AG7" s="19" t="e">
        <f>IF(AND('MAPA CORRUPCION'!#REF!="Muy Alta",'MAPA CORRUPCION'!#REF!="Mayor"),CONCATENATE("R2C",'MAPA CORRUPCION'!#REF!),"")</f>
        <v>#REF!</v>
      </c>
      <c r="AH7" s="20" t="str">
        <f>IF(AND('MAPA CORRUPCION'!$AB$6="Muy Alta",'MAPA CORRUPCION'!$AD$6="Catastrófico"),CONCATENATE("R2C",'MAPA CORRUPCION'!$R$6),"")</f>
        <v/>
      </c>
      <c r="AI7" s="21" t="str">
        <f>IF(AND('MAPA CORRUPCION'!$AB$7="Muy Alta",'MAPA CORRUPCION'!$AD$7="Catastrófico"),CONCATENATE("R2C",'MAPA CORRUPCION'!$R$7),"")</f>
        <v/>
      </c>
      <c r="AJ7" s="21" t="str">
        <f>IF(AND('MAPA CORRUPCION'!$AB$8="Muy Alta",'MAPA CORRUPCION'!$AD$8="Catastrófico"),CONCATENATE("R2C",'MAPA CORRUPCION'!$R$8),"")</f>
        <v/>
      </c>
      <c r="AK7" s="21" t="str">
        <f>IF(AND('MAPA CORRUPCION'!$AB$9="Muy Alta",'MAPA CORRUPCION'!$AD$9="Catastrófico"),CONCATENATE("R2C",'MAPA CORRUPCION'!$R$9),"")</f>
        <v/>
      </c>
      <c r="AL7" s="21" t="e">
        <f>IF(AND('MAPA CORRUPCION'!#REF!="Muy Alta",'MAPA CORRUPCION'!#REF!="Catastrófico"),CONCATENATE("R2C",'MAPA CORRUPCION'!#REF!),"")</f>
        <v>#REF!</v>
      </c>
      <c r="AM7" s="22" t="e">
        <f>IF(AND('MAPA CORRUPCION'!#REF!="Muy Alta",'MAPA CORRUPCION'!#REF!="Catastrófico"),CONCATENATE("R2C",'MAPA CORRUPCION'!#REF!),"")</f>
        <v>#REF!</v>
      </c>
      <c r="AN7" s="49"/>
      <c r="AO7" s="404"/>
      <c r="AP7" s="405"/>
      <c r="AQ7" s="405"/>
      <c r="AR7" s="405"/>
      <c r="AS7" s="405"/>
      <c r="AT7" s="406"/>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row>
    <row r="8" spans="1:91" ht="15" customHeight="1" x14ac:dyDescent="0.25">
      <c r="A8" s="49"/>
      <c r="B8" s="296"/>
      <c r="C8" s="296"/>
      <c r="D8" s="297"/>
      <c r="E8" s="397"/>
      <c r="F8" s="398"/>
      <c r="G8" s="398"/>
      <c r="H8" s="398"/>
      <c r="I8" s="413"/>
      <c r="J8" s="17" t="str">
        <f>IF(AND('MAPA CORRUPCION'!$AB$10="Muy Alta",'MAPA CORRUPCION'!$AD$10="Leve"),CONCATENATE("R3C",'MAPA CORRUPCION'!$R$10),"")</f>
        <v/>
      </c>
      <c r="K8" s="18" t="str">
        <f>IF(AND('MAPA CORRUPCION'!$AB$11="Muy Alta",'MAPA CORRUPCION'!$AD$11="Leve"),CONCATENATE("R3C",'MAPA CORRUPCION'!$R$11),"")</f>
        <v/>
      </c>
      <c r="L8" s="18" t="str">
        <f>IF(AND('MAPA CORRUPCION'!$AB$12="Muy Alta",'MAPA CORRUPCION'!$AD$12="Leve"),CONCATENATE("R3C",'MAPA CORRUPCION'!$R$12),"")</f>
        <v/>
      </c>
      <c r="M8" s="18" t="str">
        <f ca="1">IF(AND('MAPA CORRUPCION'!$AB$13="Muy Alta",'MAPA CORRUPCION'!$AD$13="Leve"),CONCATENATE("R3C",'MAPA CORRUPCION'!$R$13),"")</f>
        <v/>
      </c>
      <c r="N8" s="18" t="str">
        <f>IF(AND('MAPA CORRUPCION'!$AB$14="Muy Alta",'MAPA CORRUPCION'!$AD$14="Leve"),CONCATENATE("R3C",'MAPA CORRUPCION'!$R$14),"")</f>
        <v/>
      </c>
      <c r="O8" s="19" t="str">
        <f>IF(AND('MAPA CORRUPCION'!$AB$15="Muy Alta",'MAPA CORRUPCION'!$AD$15="Leve"),CONCATENATE("R3C",'MAPA CORRUPCION'!$R$15),"")</f>
        <v/>
      </c>
      <c r="P8" s="17" t="str">
        <f>IF(AND('MAPA CORRUPCION'!$AB$10="Muy Alta",'MAPA CORRUPCION'!$AD$10="Menor"),CONCATENATE("R3C",'MAPA CORRUPCION'!$R$10),"")</f>
        <v/>
      </c>
      <c r="Q8" s="18" t="str">
        <f>IF(AND('MAPA CORRUPCION'!$AB$11="Muy Alta",'MAPA CORRUPCION'!$AD$11="Menor"),CONCATENATE("R3C",'MAPA CORRUPCION'!$R$11),"")</f>
        <v/>
      </c>
      <c r="R8" s="18" t="str">
        <f>IF(AND('MAPA CORRUPCION'!$AB$12="Muy Alta",'MAPA CORRUPCION'!$AD$12="Menor"),CONCATENATE("R3C",'MAPA CORRUPCION'!$R$12),"")</f>
        <v/>
      </c>
      <c r="S8" s="18" t="str">
        <f ca="1">IF(AND('MAPA CORRUPCION'!$AB$13="Muy Alta",'MAPA CORRUPCION'!$AD$13="Menor"),CONCATENATE("R3C",'MAPA CORRUPCION'!$R$13),"")</f>
        <v/>
      </c>
      <c r="T8" s="18" t="str">
        <f>IF(AND('MAPA CORRUPCION'!$AB$14="Muy Alta",'MAPA CORRUPCION'!$AD$14="Menor"),CONCATENATE("R3C",'MAPA CORRUPCION'!$R$14),"")</f>
        <v/>
      </c>
      <c r="U8" s="19" t="str">
        <f>IF(AND('MAPA CORRUPCION'!$AB$15="Muy Alta",'MAPA CORRUPCION'!$AD$15="Menor"),CONCATENATE("R3C",'MAPA CORRUPCION'!$R$15),"")</f>
        <v/>
      </c>
      <c r="V8" s="17" t="str">
        <f>IF(AND('MAPA CORRUPCION'!$AB$10="Muy Alta",'MAPA CORRUPCION'!$AD$10="Moderado"),CONCATENATE("R3C",'MAPA CORRUPCION'!$R$10),"")</f>
        <v/>
      </c>
      <c r="W8" s="18" t="str">
        <f>IF(AND('MAPA CORRUPCION'!$AB$11="Muy Alta",'MAPA CORRUPCION'!$AD$11="Moderado"),CONCATENATE("R3C",'MAPA CORRUPCION'!$R$11),"")</f>
        <v/>
      </c>
      <c r="X8" s="18" t="str">
        <f>IF(AND('MAPA CORRUPCION'!$AB$12="Muy Alta",'MAPA CORRUPCION'!$AD$12="Moderado"),CONCATENATE("R3C",'MAPA CORRUPCION'!$R$12),"")</f>
        <v/>
      </c>
      <c r="Y8" s="18" t="str">
        <f ca="1">IF(AND('MAPA CORRUPCION'!$AB$13="Muy Alta",'MAPA CORRUPCION'!$AD$13="Moderado"),CONCATENATE("R3C",'MAPA CORRUPCION'!$R$13),"")</f>
        <v/>
      </c>
      <c r="Z8" s="18" t="str">
        <f>IF(AND('MAPA CORRUPCION'!$AB$14="Muy Alta",'MAPA CORRUPCION'!$AD$14="Moderado"),CONCATENATE("R3C",'MAPA CORRUPCION'!$R$14),"")</f>
        <v/>
      </c>
      <c r="AA8" s="19" t="str">
        <f>IF(AND('MAPA CORRUPCION'!$AB$15="Muy Alta",'MAPA CORRUPCION'!$AD$15="Moderado"),CONCATENATE("R3C",'MAPA CORRUPCION'!$R$15),"")</f>
        <v/>
      </c>
      <c r="AB8" s="17" t="str">
        <f>IF(AND('MAPA CORRUPCION'!$AB$10="Muy Alta",'MAPA CORRUPCION'!$AD$10="Mayor"),CONCATENATE("R3C",'MAPA CORRUPCION'!$R$10),"")</f>
        <v/>
      </c>
      <c r="AC8" s="18" t="str">
        <f>IF(AND('MAPA CORRUPCION'!$AB$11="Muy Alta",'MAPA CORRUPCION'!$AD$11="Mayor"),CONCATENATE("R3C",'MAPA CORRUPCION'!$R$11),"")</f>
        <v/>
      </c>
      <c r="AD8" s="18" t="str">
        <f>IF(AND('MAPA CORRUPCION'!$AB$12="Muy Alta",'MAPA CORRUPCION'!$AD$12="Mayor"),CONCATENATE("R3C",'MAPA CORRUPCION'!$R$12),"")</f>
        <v/>
      </c>
      <c r="AE8" s="18" t="str">
        <f ca="1">IF(AND('MAPA CORRUPCION'!$AB$13="Muy Alta",'MAPA CORRUPCION'!$AD$13="Mayor"),CONCATENATE("R3C",'MAPA CORRUPCION'!$R$13),"")</f>
        <v/>
      </c>
      <c r="AF8" s="18" t="str">
        <f>IF(AND('MAPA CORRUPCION'!$AB$14="Muy Alta",'MAPA CORRUPCION'!$AD$14="Mayor"),CONCATENATE("R3C",'MAPA CORRUPCION'!$R$14),"")</f>
        <v/>
      </c>
      <c r="AG8" s="19" t="str">
        <f>IF(AND('MAPA CORRUPCION'!$AB$15="Muy Alta",'MAPA CORRUPCION'!$AD$15="Mayor"),CONCATENATE("R3C",'MAPA CORRUPCION'!$R$15),"")</f>
        <v/>
      </c>
      <c r="AH8" s="20" t="str">
        <f>IF(AND('MAPA CORRUPCION'!$AB$10="Muy Alta",'MAPA CORRUPCION'!$AD$10="Catastrófico"),CONCATENATE("R3C",'MAPA CORRUPCION'!$R$10),"")</f>
        <v/>
      </c>
      <c r="AI8" s="21" t="str">
        <f>IF(AND('MAPA CORRUPCION'!$AB$11="Muy Alta",'MAPA CORRUPCION'!$AD$11="Catastrófico"),CONCATENATE("R3C",'MAPA CORRUPCION'!$R$11),"")</f>
        <v/>
      </c>
      <c r="AJ8" s="21" t="str">
        <f>IF(AND('MAPA CORRUPCION'!$AB$12="Muy Alta",'MAPA CORRUPCION'!$AD$12="Catastrófico"),CONCATENATE("R3C",'MAPA CORRUPCION'!$R$12),"")</f>
        <v/>
      </c>
      <c r="AK8" s="21" t="str">
        <f ca="1">IF(AND('MAPA CORRUPCION'!$AB$13="Muy Alta",'MAPA CORRUPCION'!$AD$13="Catastrófico"),CONCATENATE("R3C",'MAPA CORRUPCION'!$R$13),"")</f>
        <v/>
      </c>
      <c r="AL8" s="21" t="str">
        <f>IF(AND('MAPA CORRUPCION'!$AB$14="Muy Alta",'MAPA CORRUPCION'!$AD$14="Catastrófico"),CONCATENATE("R3C",'MAPA CORRUPCION'!$R$14),"")</f>
        <v/>
      </c>
      <c r="AM8" s="22" t="str">
        <f>IF(AND('MAPA CORRUPCION'!$AB$15="Muy Alta",'MAPA CORRUPCION'!$AD$15="Catastrófico"),CONCATENATE("R3C",'MAPA CORRUPCION'!$R$15),"")</f>
        <v/>
      </c>
      <c r="AN8" s="49"/>
      <c r="AO8" s="404"/>
      <c r="AP8" s="405"/>
      <c r="AQ8" s="405"/>
      <c r="AR8" s="405"/>
      <c r="AS8" s="405"/>
      <c r="AT8" s="406"/>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row>
    <row r="9" spans="1:91" ht="15" customHeight="1" x14ac:dyDescent="0.25">
      <c r="A9" s="49"/>
      <c r="B9" s="296"/>
      <c r="C9" s="296"/>
      <c r="D9" s="297"/>
      <c r="E9" s="397"/>
      <c r="F9" s="398"/>
      <c r="G9" s="398"/>
      <c r="H9" s="398"/>
      <c r="I9" s="413"/>
      <c r="J9" s="17" t="str">
        <f>IF(AND('MAPA CORRUPCION'!$AB$16="Muy Alta",'MAPA CORRUPCION'!$AD$16="Leve"),CONCATENATE("R4C",'MAPA CORRUPCION'!$R$16),"")</f>
        <v/>
      </c>
      <c r="K9" s="18" t="str">
        <f>IF(AND('MAPA CORRUPCION'!$AB$17="Muy Alta",'MAPA CORRUPCION'!$AD$17="Leve"),CONCATENATE("R4C",'MAPA CORRUPCION'!$R$17),"")</f>
        <v/>
      </c>
      <c r="L9" s="23" t="e">
        <f>IF(AND('MAPA CORRUPCION'!#REF!="Muy Alta",'MAPA CORRUPCION'!#REF!="Leve"),CONCATENATE("R4C",'MAPA CORRUPCION'!#REF!),"")</f>
        <v>#REF!</v>
      </c>
      <c r="M9" s="23" t="e">
        <f>IF(AND('MAPA CORRUPCION'!#REF!="Muy Alta",'MAPA CORRUPCION'!#REF!="Leve"),CONCATENATE("R4C",'MAPA CORRUPCION'!#REF!),"")</f>
        <v>#REF!</v>
      </c>
      <c r="N9" s="23" t="e">
        <f>IF(AND('MAPA CORRUPCION'!#REF!="Muy Alta",'MAPA CORRUPCION'!#REF!="Leve"),CONCATENATE("R4C",'MAPA CORRUPCION'!#REF!),"")</f>
        <v>#REF!</v>
      </c>
      <c r="O9" s="19" t="e">
        <f>IF(AND('MAPA CORRUPCION'!#REF!="Muy Alta",'MAPA CORRUPCION'!#REF!="Leve"),CONCATENATE("R4C",'MAPA CORRUPCION'!#REF!),"")</f>
        <v>#REF!</v>
      </c>
      <c r="P9" s="17" t="str">
        <f>IF(AND('MAPA CORRUPCION'!$AB$16="Muy Alta",'MAPA CORRUPCION'!$AD$16="Menor"),CONCATENATE("R4C",'MAPA CORRUPCION'!$R$16),"")</f>
        <v/>
      </c>
      <c r="Q9" s="18" t="str">
        <f>IF(AND('MAPA CORRUPCION'!$AB$17="Muy Alta",'MAPA CORRUPCION'!$AD$17="Menor"),CONCATENATE("R4C",'MAPA CORRUPCION'!$R$17),"")</f>
        <v/>
      </c>
      <c r="R9" s="23" t="e">
        <f>IF(AND('MAPA CORRUPCION'!#REF!="Muy Alta",'MAPA CORRUPCION'!#REF!="Menor"),CONCATENATE("R4C",'MAPA CORRUPCION'!#REF!),"")</f>
        <v>#REF!</v>
      </c>
      <c r="S9" s="23" t="e">
        <f>IF(AND('MAPA CORRUPCION'!#REF!="Muy Alta",'MAPA CORRUPCION'!#REF!="Menor"),CONCATENATE("R4C",'MAPA CORRUPCION'!#REF!),"")</f>
        <v>#REF!</v>
      </c>
      <c r="T9" s="23" t="e">
        <f>IF(AND('MAPA CORRUPCION'!#REF!="Muy Alta",'MAPA CORRUPCION'!#REF!="Menor"),CONCATENATE("R4C",'MAPA CORRUPCION'!#REF!),"")</f>
        <v>#REF!</v>
      </c>
      <c r="U9" s="19" t="e">
        <f>IF(AND('MAPA CORRUPCION'!#REF!="Muy Alta",'MAPA CORRUPCION'!#REF!="Menor"),CONCATENATE("R4C",'MAPA CORRUPCION'!#REF!),"")</f>
        <v>#REF!</v>
      </c>
      <c r="V9" s="17" t="str">
        <f>IF(AND('MAPA CORRUPCION'!$AB$16="Muy Alta",'MAPA CORRUPCION'!$AD$16="Moderado"),CONCATENATE("R4C",'MAPA CORRUPCION'!$R$16),"")</f>
        <v/>
      </c>
      <c r="W9" s="18" t="str">
        <f>IF(AND('MAPA CORRUPCION'!$AB$17="Muy Alta",'MAPA CORRUPCION'!$AD$17="Moderado"),CONCATENATE("R4C",'MAPA CORRUPCION'!$R$17),"")</f>
        <v/>
      </c>
      <c r="X9" s="23" t="e">
        <f>IF(AND('MAPA CORRUPCION'!#REF!="Muy Alta",'MAPA CORRUPCION'!#REF!="Moderado"),CONCATENATE("R4C",'MAPA CORRUPCION'!#REF!),"")</f>
        <v>#REF!</v>
      </c>
      <c r="Y9" s="23" t="e">
        <f>IF(AND('MAPA CORRUPCION'!#REF!="Muy Alta",'MAPA CORRUPCION'!#REF!="Moderado"),CONCATENATE("R4C",'MAPA CORRUPCION'!#REF!),"")</f>
        <v>#REF!</v>
      </c>
      <c r="Z9" s="23" t="e">
        <f>IF(AND('MAPA CORRUPCION'!#REF!="Muy Alta",'MAPA CORRUPCION'!#REF!="Moderado"),CONCATENATE("R4C",'MAPA CORRUPCION'!#REF!),"")</f>
        <v>#REF!</v>
      </c>
      <c r="AA9" s="19" t="e">
        <f>IF(AND('MAPA CORRUPCION'!#REF!="Muy Alta",'MAPA CORRUPCION'!#REF!="Moderado"),CONCATENATE("R4C",'MAPA CORRUPCION'!#REF!),"")</f>
        <v>#REF!</v>
      </c>
      <c r="AB9" s="17" t="str">
        <f>IF(AND('MAPA CORRUPCION'!$AB$16="Muy Alta",'MAPA CORRUPCION'!$AD$16="Mayor"),CONCATENATE("R4C",'MAPA CORRUPCION'!$R$16),"")</f>
        <v/>
      </c>
      <c r="AC9" s="18" t="str">
        <f>IF(AND('MAPA CORRUPCION'!$AB$17="Muy Alta",'MAPA CORRUPCION'!$AD$17="Mayor"),CONCATENATE("R4C",'MAPA CORRUPCION'!$R$17),"")</f>
        <v/>
      </c>
      <c r="AD9" s="23" t="e">
        <f>IF(AND('MAPA CORRUPCION'!#REF!="Muy Alta",'MAPA CORRUPCION'!#REF!="Mayor"),CONCATENATE("R4C",'MAPA CORRUPCION'!#REF!),"")</f>
        <v>#REF!</v>
      </c>
      <c r="AE9" s="23" t="e">
        <f>IF(AND('MAPA CORRUPCION'!#REF!="Muy Alta",'MAPA CORRUPCION'!#REF!="Mayor"),CONCATENATE("R4C",'MAPA CORRUPCION'!#REF!),"")</f>
        <v>#REF!</v>
      </c>
      <c r="AF9" s="23" t="e">
        <f>IF(AND('MAPA CORRUPCION'!#REF!="Muy Alta",'MAPA CORRUPCION'!#REF!="Mayor"),CONCATENATE("R4C",'MAPA CORRUPCION'!#REF!),"")</f>
        <v>#REF!</v>
      </c>
      <c r="AG9" s="19" t="e">
        <f>IF(AND('MAPA CORRUPCION'!#REF!="Muy Alta",'MAPA CORRUPCION'!#REF!="Mayor"),CONCATENATE("R4C",'MAPA CORRUPCION'!#REF!),"")</f>
        <v>#REF!</v>
      </c>
      <c r="AH9" s="20" t="str">
        <f>IF(AND('MAPA CORRUPCION'!$AB$16="Muy Alta",'MAPA CORRUPCION'!$AD$16="Catastrófico"),CONCATENATE("R4C",'MAPA CORRUPCION'!$R$16),"")</f>
        <v/>
      </c>
      <c r="AI9" s="21" t="str">
        <f>IF(AND('MAPA CORRUPCION'!$AB$17="Muy Alta",'MAPA CORRUPCION'!$AD$17="Catastrófico"),CONCATENATE("R4C",'MAPA CORRUPCION'!$R$17),"")</f>
        <v/>
      </c>
      <c r="AJ9" s="21" t="e">
        <f>IF(AND('MAPA CORRUPCION'!#REF!="Muy Alta",'MAPA CORRUPCION'!#REF!="Catastrófico"),CONCATENATE("R4C",'MAPA CORRUPCION'!#REF!),"")</f>
        <v>#REF!</v>
      </c>
      <c r="AK9" s="21" t="e">
        <f>IF(AND('MAPA CORRUPCION'!#REF!="Muy Alta",'MAPA CORRUPCION'!#REF!="Catastrófico"),CONCATENATE("R4C",'MAPA CORRUPCION'!#REF!),"")</f>
        <v>#REF!</v>
      </c>
      <c r="AL9" s="21" t="e">
        <f>IF(AND('MAPA CORRUPCION'!#REF!="Muy Alta",'MAPA CORRUPCION'!#REF!="Catastrófico"),CONCATENATE("R4C",'MAPA CORRUPCION'!#REF!),"")</f>
        <v>#REF!</v>
      </c>
      <c r="AM9" s="22" t="e">
        <f>IF(AND('MAPA CORRUPCION'!#REF!="Muy Alta",'MAPA CORRUPCION'!#REF!="Catastrófico"),CONCATENATE("R4C",'MAPA CORRUPCION'!#REF!),"")</f>
        <v>#REF!</v>
      </c>
      <c r="AN9" s="49"/>
      <c r="AO9" s="404"/>
      <c r="AP9" s="405"/>
      <c r="AQ9" s="405"/>
      <c r="AR9" s="405"/>
      <c r="AS9" s="405"/>
      <c r="AT9" s="406"/>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91" ht="15" customHeight="1" x14ac:dyDescent="0.25">
      <c r="A10" s="49"/>
      <c r="B10" s="296"/>
      <c r="C10" s="296"/>
      <c r="D10" s="297"/>
      <c r="E10" s="397"/>
      <c r="F10" s="398"/>
      <c r="G10" s="398"/>
      <c r="H10" s="398"/>
      <c r="I10" s="413"/>
      <c r="J10" s="17" t="str">
        <f ca="1">IF(AND('MAPA CORRUPCION'!$AB$18="Muy Alta",'MAPA CORRUPCION'!$AD$18="Leve"),CONCATENATE("R5C",'MAPA CORRUPCION'!$R$18),"")</f>
        <v/>
      </c>
      <c r="K10" s="18" t="e">
        <f>IF(AND('MAPA CORRUPCION'!#REF!="Muy Alta",'MAPA CORRUPCION'!#REF!="Leve"),CONCATENATE("R5C",'MAPA CORRUPCION'!#REF!),"")</f>
        <v>#REF!</v>
      </c>
      <c r="L10" s="23" t="e">
        <f>IF(AND('MAPA CORRUPCION'!#REF!="Muy Alta",'MAPA CORRUPCION'!#REF!="Leve"),CONCATENATE("R5C",'MAPA CORRUPCION'!#REF!),"")</f>
        <v>#REF!</v>
      </c>
      <c r="M10" s="23" t="e">
        <f>IF(AND('MAPA CORRUPCION'!#REF!="Muy Alta",'MAPA CORRUPCION'!#REF!="Leve"),CONCATENATE("R5C",'MAPA CORRUPCION'!#REF!),"")</f>
        <v>#REF!</v>
      </c>
      <c r="N10" s="23" t="e">
        <f>IF(AND('MAPA CORRUPCION'!#REF!="Muy Alta",'MAPA CORRUPCION'!#REF!="Leve"),CONCATENATE("R5C",'MAPA CORRUPCION'!#REF!),"")</f>
        <v>#REF!</v>
      </c>
      <c r="O10" s="19" t="e">
        <f>IF(AND('MAPA CORRUPCION'!#REF!="Muy Alta",'MAPA CORRUPCION'!#REF!="Leve"),CONCATENATE("R5C",'MAPA CORRUPCION'!#REF!),"")</f>
        <v>#REF!</v>
      </c>
      <c r="P10" s="17" t="str">
        <f ca="1">IF(AND('MAPA CORRUPCION'!$AB$18="Muy Alta",'MAPA CORRUPCION'!$AD$18="Menor"),CONCATENATE("R5C",'MAPA CORRUPCION'!$R$18),"")</f>
        <v/>
      </c>
      <c r="Q10" s="18" t="e">
        <f>IF(AND('MAPA CORRUPCION'!#REF!="Muy Alta",'MAPA CORRUPCION'!#REF!="Menor"),CONCATENATE("R5C",'MAPA CORRUPCION'!#REF!),"")</f>
        <v>#REF!</v>
      </c>
      <c r="R10" s="23" t="e">
        <f>IF(AND('MAPA CORRUPCION'!#REF!="Muy Alta",'MAPA CORRUPCION'!#REF!="Menor"),CONCATENATE("R5C",'MAPA CORRUPCION'!#REF!),"")</f>
        <v>#REF!</v>
      </c>
      <c r="S10" s="23" t="e">
        <f>IF(AND('MAPA CORRUPCION'!#REF!="Muy Alta",'MAPA CORRUPCION'!#REF!="Menor"),CONCATENATE("R5C",'MAPA CORRUPCION'!#REF!),"")</f>
        <v>#REF!</v>
      </c>
      <c r="T10" s="23" t="e">
        <f>IF(AND('MAPA CORRUPCION'!#REF!="Muy Alta",'MAPA CORRUPCION'!#REF!="Menor"),CONCATENATE("R5C",'MAPA CORRUPCION'!#REF!),"")</f>
        <v>#REF!</v>
      </c>
      <c r="U10" s="19" t="e">
        <f>IF(AND('MAPA CORRUPCION'!#REF!="Muy Alta",'MAPA CORRUPCION'!#REF!="Menor"),CONCATENATE("R5C",'MAPA CORRUPCION'!#REF!),"")</f>
        <v>#REF!</v>
      </c>
      <c r="V10" s="17" t="str">
        <f ca="1">IF(AND('MAPA CORRUPCION'!$AB$18="Muy Alta",'MAPA CORRUPCION'!$AD$18="Moderado"),CONCATENATE("R5C",'MAPA CORRUPCION'!$R$18),"")</f>
        <v/>
      </c>
      <c r="W10" s="18" t="e">
        <f>IF(AND('MAPA CORRUPCION'!#REF!="Muy Alta",'MAPA CORRUPCION'!#REF!="Moderado"),CONCATENATE("R5C",'MAPA CORRUPCION'!#REF!),"")</f>
        <v>#REF!</v>
      </c>
      <c r="X10" s="23" t="e">
        <f>IF(AND('MAPA CORRUPCION'!#REF!="Muy Alta",'MAPA CORRUPCION'!#REF!="Moderado"),CONCATENATE("R5C",'MAPA CORRUPCION'!#REF!),"")</f>
        <v>#REF!</v>
      </c>
      <c r="Y10" s="23" t="e">
        <f>IF(AND('MAPA CORRUPCION'!#REF!="Muy Alta",'MAPA CORRUPCION'!#REF!="Moderado"),CONCATENATE("R5C",'MAPA CORRUPCION'!#REF!),"")</f>
        <v>#REF!</v>
      </c>
      <c r="Z10" s="23" t="e">
        <f>IF(AND('MAPA CORRUPCION'!#REF!="Muy Alta",'MAPA CORRUPCION'!#REF!="Moderado"),CONCATENATE("R5C",'MAPA CORRUPCION'!#REF!),"")</f>
        <v>#REF!</v>
      </c>
      <c r="AA10" s="19" t="e">
        <f>IF(AND('MAPA CORRUPCION'!#REF!="Muy Alta",'MAPA CORRUPCION'!#REF!="Moderado"),CONCATENATE("R5C",'MAPA CORRUPCION'!#REF!),"")</f>
        <v>#REF!</v>
      </c>
      <c r="AB10" s="17" t="str">
        <f ca="1">IF(AND('MAPA CORRUPCION'!$AB$18="Muy Alta",'MAPA CORRUPCION'!$AD$18="Mayor"),CONCATENATE("R5C",'MAPA CORRUPCION'!$R$18),"")</f>
        <v/>
      </c>
      <c r="AC10" s="18" t="e">
        <f>IF(AND('MAPA CORRUPCION'!#REF!="Muy Alta",'MAPA CORRUPCION'!#REF!="Mayor"),CONCATENATE("R5C",'MAPA CORRUPCION'!#REF!),"")</f>
        <v>#REF!</v>
      </c>
      <c r="AD10" s="23" t="e">
        <f>IF(AND('MAPA CORRUPCION'!#REF!="Muy Alta",'MAPA CORRUPCION'!#REF!="Mayor"),CONCATENATE("R5C",'MAPA CORRUPCION'!#REF!),"")</f>
        <v>#REF!</v>
      </c>
      <c r="AE10" s="23" t="e">
        <f>IF(AND('MAPA CORRUPCION'!#REF!="Muy Alta",'MAPA CORRUPCION'!#REF!="Mayor"),CONCATENATE("R5C",'MAPA CORRUPCION'!#REF!),"")</f>
        <v>#REF!</v>
      </c>
      <c r="AF10" s="23" t="e">
        <f>IF(AND('MAPA CORRUPCION'!#REF!="Muy Alta",'MAPA CORRUPCION'!#REF!="Mayor"),CONCATENATE("R5C",'MAPA CORRUPCION'!#REF!),"")</f>
        <v>#REF!</v>
      </c>
      <c r="AG10" s="19" t="e">
        <f>IF(AND('MAPA CORRUPCION'!#REF!="Muy Alta",'MAPA CORRUPCION'!#REF!="Mayor"),CONCATENATE("R5C",'MAPA CORRUPCION'!#REF!),"")</f>
        <v>#REF!</v>
      </c>
      <c r="AH10" s="20" t="str">
        <f ca="1">IF(AND('MAPA CORRUPCION'!$AB$18="Muy Alta",'MAPA CORRUPCION'!$AD$18="Catastrófico"),CONCATENATE("R5C",'MAPA CORRUPCION'!$R$18),"")</f>
        <v/>
      </c>
      <c r="AI10" s="21" t="e">
        <f>IF(AND('MAPA CORRUPCION'!#REF!="Muy Alta",'MAPA CORRUPCION'!#REF!="Catastrófico"),CONCATENATE("R5C",'MAPA CORRUPCION'!#REF!),"")</f>
        <v>#REF!</v>
      </c>
      <c r="AJ10" s="21" t="e">
        <f>IF(AND('MAPA CORRUPCION'!#REF!="Muy Alta",'MAPA CORRUPCION'!#REF!="Catastrófico"),CONCATENATE("R5C",'MAPA CORRUPCION'!#REF!),"")</f>
        <v>#REF!</v>
      </c>
      <c r="AK10" s="21" t="e">
        <f>IF(AND('MAPA CORRUPCION'!#REF!="Muy Alta",'MAPA CORRUPCION'!#REF!="Catastrófico"),CONCATENATE("R5C",'MAPA CORRUPCION'!#REF!),"")</f>
        <v>#REF!</v>
      </c>
      <c r="AL10" s="21" t="e">
        <f>IF(AND('MAPA CORRUPCION'!#REF!="Muy Alta",'MAPA CORRUPCION'!#REF!="Catastrófico"),CONCATENATE("R5C",'MAPA CORRUPCION'!#REF!),"")</f>
        <v>#REF!</v>
      </c>
      <c r="AM10" s="22" t="e">
        <f>IF(AND('MAPA CORRUPCION'!#REF!="Muy Alta",'MAPA CORRUPCION'!#REF!="Catastrófico"),CONCATENATE("R5C",'MAPA CORRUPCION'!#REF!),"")</f>
        <v>#REF!</v>
      </c>
      <c r="AN10" s="49"/>
      <c r="AO10" s="404"/>
      <c r="AP10" s="405"/>
      <c r="AQ10" s="405"/>
      <c r="AR10" s="405"/>
      <c r="AS10" s="405"/>
      <c r="AT10" s="406"/>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row>
    <row r="11" spans="1:91" ht="15" customHeight="1" x14ac:dyDescent="0.25">
      <c r="A11" s="49"/>
      <c r="B11" s="296"/>
      <c r="C11" s="296"/>
      <c r="D11" s="297"/>
      <c r="E11" s="397"/>
      <c r="F11" s="398"/>
      <c r="G11" s="398"/>
      <c r="H11" s="398"/>
      <c r="I11" s="413"/>
      <c r="J11" s="17" t="e">
        <f>IF(AND('MAPA CORRUPCION'!#REF!="Muy Alta",'MAPA CORRUPCION'!#REF!="Leve"),CONCATENATE("R6C",'MAPA CORRUPCION'!#REF!),"")</f>
        <v>#REF!</v>
      </c>
      <c r="K11" s="18" t="e">
        <f>IF(AND('MAPA CORRUPCION'!#REF!="Muy Alta",'MAPA CORRUPCION'!#REF!="Leve"),CONCATENATE("R6C",'MAPA CORRUPCION'!#REF!),"")</f>
        <v>#REF!</v>
      </c>
      <c r="L11" s="23" t="e">
        <f>IF(AND('MAPA CORRUPCION'!#REF!="Muy Alta",'MAPA CORRUPCION'!#REF!="Leve"),CONCATENATE("R6C",'MAPA CORRUPCION'!#REF!),"")</f>
        <v>#REF!</v>
      </c>
      <c r="M11" s="23" t="e">
        <f>IF(AND('MAPA CORRUPCION'!#REF!="Muy Alta",'MAPA CORRUPCION'!#REF!="Leve"),CONCATENATE("R6C",'MAPA CORRUPCION'!#REF!),"")</f>
        <v>#REF!</v>
      </c>
      <c r="N11" s="23" t="e">
        <f>IF(AND('MAPA CORRUPCION'!#REF!="Muy Alta",'MAPA CORRUPCION'!#REF!="Leve"),CONCATENATE("R6C",'MAPA CORRUPCION'!#REF!),"")</f>
        <v>#REF!</v>
      </c>
      <c r="O11" s="19" t="e">
        <f>IF(AND('MAPA CORRUPCION'!#REF!="Muy Alta",'MAPA CORRUPCION'!#REF!="Leve"),CONCATENATE("R6C",'MAPA CORRUPCION'!#REF!),"")</f>
        <v>#REF!</v>
      </c>
      <c r="P11" s="17" t="e">
        <f>IF(AND('MAPA CORRUPCION'!#REF!="Muy Alta",'MAPA CORRUPCION'!#REF!="Menor"),CONCATENATE("R6C",'MAPA CORRUPCION'!#REF!),"")</f>
        <v>#REF!</v>
      </c>
      <c r="Q11" s="18" t="e">
        <f>IF(AND('MAPA CORRUPCION'!#REF!="Muy Alta",'MAPA CORRUPCION'!#REF!="Menor"),CONCATENATE("R6C",'MAPA CORRUPCION'!#REF!),"")</f>
        <v>#REF!</v>
      </c>
      <c r="R11" s="23" t="e">
        <f>IF(AND('MAPA CORRUPCION'!#REF!="Muy Alta",'MAPA CORRUPCION'!#REF!="Menor"),CONCATENATE("R6C",'MAPA CORRUPCION'!#REF!),"")</f>
        <v>#REF!</v>
      </c>
      <c r="S11" s="23" t="e">
        <f>IF(AND('MAPA CORRUPCION'!#REF!="Muy Alta",'MAPA CORRUPCION'!#REF!="Menor"),CONCATENATE("R6C",'MAPA CORRUPCION'!#REF!),"")</f>
        <v>#REF!</v>
      </c>
      <c r="T11" s="23" t="e">
        <f>IF(AND('MAPA CORRUPCION'!#REF!="Muy Alta",'MAPA CORRUPCION'!#REF!="Menor"),CONCATENATE("R6C",'MAPA CORRUPCION'!#REF!),"")</f>
        <v>#REF!</v>
      </c>
      <c r="U11" s="19" t="e">
        <f>IF(AND('MAPA CORRUPCION'!#REF!="Muy Alta",'MAPA CORRUPCION'!#REF!="Menor"),CONCATENATE("R6C",'MAPA CORRUPCION'!#REF!),"")</f>
        <v>#REF!</v>
      </c>
      <c r="V11" s="17" t="e">
        <f>IF(AND('MAPA CORRUPCION'!#REF!="Muy Alta",'MAPA CORRUPCION'!#REF!="Moderado"),CONCATENATE("R6C",'MAPA CORRUPCION'!#REF!),"")</f>
        <v>#REF!</v>
      </c>
      <c r="W11" s="18" t="e">
        <f>IF(AND('MAPA CORRUPCION'!#REF!="Muy Alta",'MAPA CORRUPCION'!#REF!="Moderado"),CONCATENATE("R6C",'MAPA CORRUPCION'!#REF!),"")</f>
        <v>#REF!</v>
      </c>
      <c r="X11" s="23" t="e">
        <f>IF(AND('MAPA CORRUPCION'!#REF!="Muy Alta",'MAPA CORRUPCION'!#REF!="Moderado"),CONCATENATE("R6C",'MAPA CORRUPCION'!#REF!),"")</f>
        <v>#REF!</v>
      </c>
      <c r="Y11" s="23" t="e">
        <f>IF(AND('MAPA CORRUPCION'!#REF!="Muy Alta",'MAPA CORRUPCION'!#REF!="Moderado"),CONCATENATE("R6C",'MAPA CORRUPCION'!#REF!),"")</f>
        <v>#REF!</v>
      </c>
      <c r="Z11" s="23" t="e">
        <f>IF(AND('MAPA CORRUPCION'!#REF!="Muy Alta",'MAPA CORRUPCION'!#REF!="Moderado"),CONCATENATE("R6C",'MAPA CORRUPCION'!#REF!),"")</f>
        <v>#REF!</v>
      </c>
      <c r="AA11" s="19" t="e">
        <f>IF(AND('MAPA CORRUPCION'!#REF!="Muy Alta",'MAPA CORRUPCION'!#REF!="Moderado"),CONCATENATE("R6C",'MAPA CORRUPCION'!#REF!),"")</f>
        <v>#REF!</v>
      </c>
      <c r="AB11" s="17" t="e">
        <f>IF(AND('MAPA CORRUPCION'!#REF!="Muy Alta",'MAPA CORRUPCION'!#REF!="Mayor"),CONCATENATE("R6C",'MAPA CORRUPCION'!#REF!),"")</f>
        <v>#REF!</v>
      </c>
      <c r="AC11" s="18" t="e">
        <f>IF(AND('MAPA CORRUPCION'!#REF!="Muy Alta",'MAPA CORRUPCION'!#REF!="Mayor"),CONCATENATE("R6C",'MAPA CORRUPCION'!#REF!),"")</f>
        <v>#REF!</v>
      </c>
      <c r="AD11" s="23" t="e">
        <f>IF(AND('MAPA CORRUPCION'!#REF!="Muy Alta",'MAPA CORRUPCION'!#REF!="Mayor"),CONCATENATE("R6C",'MAPA CORRUPCION'!#REF!),"")</f>
        <v>#REF!</v>
      </c>
      <c r="AE11" s="23" t="e">
        <f>IF(AND('MAPA CORRUPCION'!#REF!="Muy Alta",'MAPA CORRUPCION'!#REF!="Mayor"),CONCATENATE("R6C",'MAPA CORRUPCION'!#REF!),"")</f>
        <v>#REF!</v>
      </c>
      <c r="AF11" s="23" t="e">
        <f>IF(AND('MAPA CORRUPCION'!#REF!="Muy Alta",'MAPA CORRUPCION'!#REF!="Mayor"),CONCATENATE("R6C",'MAPA CORRUPCION'!#REF!),"")</f>
        <v>#REF!</v>
      </c>
      <c r="AG11" s="19" t="e">
        <f>IF(AND('MAPA CORRUPCION'!#REF!="Muy Alta",'MAPA CORRUPCION'!#REF!="Mayor"),CONCATENATE("R6C",'MAPA CORRUPCION'!#REF!),"")</f>
        <v>#REF!</v>
      </c>
      <c r="AH11" s="20" t="e">
        <f>IF(AND('MAPA CORRUPCION'!#REF!="Muy Alta",'MAPA CORRUPCION'!#REF!="Catastrófico"),CONCATENATE("R6C",'MAPA CORRUPCION'!#REF!),"")</f>
        <v>#REF!</v>
      </c>
      <c r="AI11" s="21" t="e">
        <f>IF(AND('MAPA CORRUPCION'!#REF!="Muy Alta",'MAPA CORRUPCION'!#REF!="Catastrófico"),CONCATENATE("R6C",'MAPA CORRUPCION'!#REF!),"")</f>
        <v>#REF!</v>
      </c>
      <c r="AJ11" s="21" t="e">
        <f>IF(AND('MAPA CORRUPCION'!#REF!="Muy Alta",'MAPA CORRUPCION'!#REF!="Catastrófico"),CONCATENATE("R6C",'MAPA CORRUPCION'!#REF!),"")</f>
        <v>#REF!</v>
      </c>
      <c r="AK11" s="21" t="e">
        <f>IF(AND('MAPA CORRUPCION'!#REF!="Muy Alta",'MAPA CORRUPCION'!#REF!="Catastrófico"),CONCATENATE("R6C",'MAPA CORRUPCION'!#REF!),"")</f>
        <v>#REF!</v>
      </c>
      <c r="AL11" s="21" t="e">
        <f>IF(AND('MAPA CORRUPCION'!#REF!="Muy Alta",'MAPA CORRUPCION'!#REF!="Catastrófico"),CONCATENATE("R6C",'MAPA CORRUPCION'!#REF!),"")</f>
        <v>#REF!</v>
      </c>
      <c r="AM11" s="22" t="e">
        <f>IF(AND('MAPA CORRUPCION'!#REF!="Muy Alta",'MAPA CORRUPCION'!#REF!="Catastrófico"),CONCATENATE("R6C",'MAPA CORRUPCION'!#REF!),"")</f>
        <v>#REF!</v>
      </c>
      <c r="AN11" s="49"/>
      <c r="AO11" s="404"/>
      <c r="AP11" s="405"/>
      <c r="AQ11" s="405"/>
      <c r="AR11" s="405"/>
      <c r="AS11" s="405"/>
      <c r="AT11" s="406"/>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row>
    <row r="12" spans="1:91" ht="15" customHeight="1" x14ac:dyDescent="0.25">
      <c r="A12" s="49"/>
      <c r="B12" s="296"/>
      <c r="C12" s="296"/>
      <c r="D12" s="297"/>
      <c r="E12" s="397"/>
      <c r="F12" s="398"/>
      <c r="G12" s="398"/>
      <c r="H12" s="398"/>
      <c r="I12" s="413"/>
      <c r="J12" s="17" t="e">
        <f>IF(AND('MAPA CORRUPCION'!#REF!="Muy Alta",'MAPA CORRUPCION'!#REF!="Leve"),CONCATENATE("R7C",'MAPA CORRUPCION'!#REF!),"")</f>
        <v>#REF!</v>
      </c>
      <c r="K12" s="18" t="e">
        <f>IF(AND('MAPA CORRUPCION'!#REF!="Muy Alta",'MAPA CORRUPCION'!#REF!="Leve"),CONCATENATE("R7C",'MAPA CORRUPCION'!#REF!),"")</f>
        <v>#REF!</v>
      </c>
      <c r="L12" s="23" t="e">
        <f>IF(AND('MAPA CORRUPCION'!#REF!="Muy Alta",'MAPA CORRUPCION'!#REF!="Leve"),CONCATENATE("R7C",'MAPA CORRUPCION'!#REF!),"")</f>
        <v>#REF!</v>
      </c>
      <c r="M12" s="23" t="e">
        <f>IF(AND('MAPA CORRUPCION'!#REF!="Muy Alta",'MAPA CORRUPCION'!#REF!="Leve"),CONCATENATE("R7C",'MAPA CORRUPCION'!#REF!),"")</f>
        <v>#REF!</v>
      </c>
      <c r="N12" s="23" t="e">
        <f>IF(AND('MAPA CORRUPCION'!#REF!="Muy Alta",'MAPA CORRUPCION'!#REF!="Leve"),CONCATENATE("R7C",'MAPA CORRUPCION'!#REF!),"")</f>
        <v>#REF!</v>
      </c>
      <c r="O12" s="19" t="e">
        <f>IF(AND('MAPA CORRUPCION'!#REF!="Muy Alta",'MAPA CORRUPCION'!#REF!="Leve"),CONCATENATE("R7C",'MAPA CORRUPCION'!#REF!),"")</f>
        <v>#REF!</v>
      </c>
      <c r="P12" s="17" t="e">
        <f>IF(AND('MAPA CORRUPCION'!#REF!="Muy Alta",'MAPA CORRUPCION'!#REF!="Menor"),CONCATENATE("R7C",'MAPA CORRUPCION'!#REF!),"")</f>
        <v>#REF!</v>
      </c>
      <c r="Q12" s="18" t="e">
        <f>IF(AND('MAPA CORRUPCION'!#REF!="Muy Alta",'MAPA CORRUPCION'!#REF!="Menor"),CONCATENATE("R7C",'MAPA CORRUPCION'!#REF!),"")</f>
        <v>#REF!</v>
      </c>
      <c r="R12" s="23" t="e">
        <f>IF(AND('MAPA CORRUPCION'!#REF!="Muy Alta",'MAPA CORRUPCION'!#REF!="Menor"),CONCATENATE("R7C",'MAPA CORRUPCION'!#REF!),"")</f>
        <v>#REF!</v>
      </c>
      <c r="S12" s="23" t="e">
        <f>IF(AND('MAPA CORRUPCION'!#REF!="Muy Alta",'MAPA CORRUPCION'!#REF!="Menor"),CONCATENATE("R7C",'MAPA CORRUPCION'!#REF!),"")</f>
        <v>#REF!</v>
      </c>
      <c r="T12" s="23" t="e">
        <f>IF(AND('MAPA CORRUPCION'!#REF!="Muy Alta",'MAPA CORRUPCION'!#REF!="Menor"),CONCATENATE("R7C",'MAPA CORRUPCION'!#REF!),"")</f>
        <v>#REF!</v>
      </c>
      <c r="U12" s="19" t="e">
        <f>IF(AND('MAPA CORRUPCION'!#REF!="Muy Alta",'MAPA CORRUPCION'!#REF!="Menor"),CONCATENATE("R7C",'MAPA CORRUPCION'!#REF!),"")</f>
        <v>#REF!</v>
      </c>
      <c r="V12" s="17" t="e">
        <f>IF(AND('MAPA CORRUPCION'!#REF!="Muy Alta",'MAPA CORRUPCION'!#REF!="Moderado"),CONCATENATE("R7C",'MAPA CORRUPCION'!#REF!),"")</f>
        <v>#REF!</v>
      </c>
      <c r="W12" s="18" t="e">
        <f>IF(AND('MAPA CORRUPCION'!#REF!="Muy Alta",'MAPA CORRUPCION'!#REF!="Moderado"),CONCATENATE("R7C",'MAPA CORRUPCION'!#REF!),"")</f>
        <v>#REF!</v>
      </c>
      <c r="X12" s="23" t="e">
        <f>IF(AND('MAPA CORRUPCION'!#REF!="Muy Alta",'MAPA CORRUPCION'!#REF!="Moderado"),CONCATENATE("R7C",'MAPA CORRUPCION'!#REF!),"")</f>
        <v>#REF!</v>
      </c>
      <c r="Y12" s="23" t="e">
        <f>IF(AND('MAPA CORRUPCION'!#REF!="Muy Alta",'MAPA CORRUPCION'!#REF!="Moderado"),CONCATENATE("R7C",'MAPA CORRUPCION'!#REF!),"")</f>
        <v>#REF!</v>
      </c>
      <c r="Z12" s="23" t="e">
        <f>IF(AND('MAPA CORRUPCION'!#REF!="Muy Alta",'MAPA CORRUPCION'!#REF!="Moderado"),CONCATENATE("R7C",'MAPA CORRUPCION'!#REF!),"")</f>
        <v>#REF!</v>
      </c>
      <c r="AA12" s="19" t="e">
        <f>IF(AND('MAPA CORRUPCION'!#REF!="Muy Alta",'MAPA CORRUPCION'!#REF!="Moderado"),CONCATENATE("R7C",'MAPA CORRUPCION'!#REF!),"")</f>
        <v>#REF!</v>
      </c>
      <c r="AB12" s="17" t="e">
        <f>IF(AND('MAPA CORRUPCION'!#REF!="Muy Alta",'MAPA CORRUPCION'!#REF!="Mayor"),CONCATENATE("R7C",'MAPA CORRUPCION'!#REF!),"")</f>
        <v>#REF!</v>
      </c>
      <c r="AC12" s="18" t="e">
        <f>IF(AND('MAPA CORRUPCION'!#REF!="Muy Alta",'MAPA CORRUPCION'!#REF!="Mayor"),CONCATENATE("R7C",'MAPA CORRUPCION'!#REF!),"")</f>
        <v>#REF!</v>
      </c>
      <c r="AD12" s="23" t="e">
        <f>IF(AND('MAPA CORRUPCION'!#REF!="Muy Alta",'MAPA CORRUPCION'!#REF!="Mayor"),CONCATENATE("R7C",'MAPA CORRUPCION'!#REF!),"")</f>
        <v>#REF!</v>
      </c>
      <c r="AE12" s="23" t="e">
        <f>IF(AND('MAPA CORRUPCION'!#REF!="Muy Alta",'MAPA CORRUPCION'!#REF!="Mayor"),CONCATENATE("R7C",'MAPA CORRUPCION'!#REF!),"")</f>
        <v>#REF!</v>
      </c>
      <c r="AF12" s="23" t="e">
        <f>IF(AND('MAPA CORRUPCION'!#REF!="Muy Alta",'MAPA CORRUPCION'!#REF!="Mayor"),CONCATENATE("R7C",'MAPA CORRUPCION'!#REF!),"")</f>
        <v>#REF!</v>
      </c>
      <c r="AG12" s="19" t="e">
        <f>IF(AND('MAPA CORRUPCION'!#REF!="Muy Alta",'MAPA CORRUPCION'!#REF!="Mayor"),CONCATENATE("R7C",'MAPA CORRUPCION'!#REF!),"")</f>
        <v>#REF!</v>
      </c>
      <c r="AH12" s="20" t="e">
        <f>IF(AND('MAPA CORRUPCION'!#REF!="Muy Alta",'MAPA CORRUPCION'!#REF!="Catastrófico"),CONCATENATE("R7C",'MAPA CORRUPCION'!#REF!),"")</f>
        <v>#REF!</v>
      </c>
      <c r="AI12" s="21" t="e">
        <f>IF(AND('MAPA CORRUPCION'!#REF!="Muy Alta",'MAPA CORRUPCION'!#REF!="Catastrófico"),CONCATENATE("R7C",'MAPA CORRUPCION'!#REF!),"")</f>
        <v>#REF!</v>
      </c>
      <c r="AJ12" s="21" t="e">
        <f>IF(AND('MAPA CORRUPCION'!#REF!="Muy Alta",'MAPA CORRUPCION'!#REF!="Catastrófico"),CONCATENATE("R7C",'MAPA CORRUPCION'!#REF!),"")</f>
        <v>#REF!</v>
      </c>
      <c r="AK12" s="21" t="e">
        <f>IF(AND('MAPA CORRUPCION'!#REF!="Muy Alta",'MAPA CORRUPCION'!#REF!="Catastrófico"),CONCATENATE("R7C",'MAPA CORRUPCION'!#REF!),"")</f>
        <v>#REF!</v>
      </c>
      <c r="AL12" s="21" t="e">
        <f>IF(AND('MAPA CORRUPCION'!#REF!="Muy Alta",'MAPA CORRUPCION'!#REF!="Catastrófico"),CONCATENATE("R7C",'MAPA CORRUPCION'!#REF!),"")</f>
        <v>#REF!</v>
      </c>
      <c r="AM12" s="22" t="e">
        <f>IF(AND('MAPA CORRUPCION'!#REF!="Muy Alta",'MAPA CORRUPCION'!#REF!="Catastrófico"),CONCATENATE("R7C",'MAPA CORRUPCION'!#REF!),"")</f>
        <v>#REF!</v>
      </c>
      <c r="AN12" s="49"/>
      <c r="AO12" s="404"/>
      <c r="AP12" s="405"/>
      <c r="AQ12" s="405"/>
      <c r="AR12" s="405"/>
      <c r="AS12" s="405"/>
      <c r="AT12" s="406"/>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row>
    <row r="13" spans="1:91" ht="15" customHeight="1" x14ac:dyDescent="0.25">
      <c r="A13" s="49"/>
      <c r="B13" s="296"/>
      <c r="C13" s="296"/>
      <c r="D13" s="297"/>
      <c r="E13" s="397"/>
      <c r="F13" s="398"/>
      <c r="G13" s="398"/>
      <c r="H13" s="398"/>
      <c r="I13" s="413"/>
      <c r="J13" s="17" t="e">
        <f>IF(AND('MAPA CORRUPCION'!#REF!="Muy Alta",'MAPA CORRUPCION'!#REF!="Leve"),CONCATENATE("R8C",'MAPA CORRUPCION'!#REF!),"")</f>
        <v>#REF!</v>
      </c>
      <c r="K13" s="18" t="e">
        <f>IF(AND('MAPA CORRUPCION'!#REF!="Muy Alta",'MAPA CORRUPCION'!#REF!="Leve"),CONCATENATE("R8C",'MAPA CORRUPCION'!#REF!),"")</f>
        <v>#REF!</v>
      </c>
      <c r="L13" s="23" t="e">
        <f>IF(AND('MAPA CORRUPCION'!#REF!="Muy Alta",'MAPA CORRUPCION'!#REF!="Leve"),CONCATENATE("R8C",'MAPA CORRUPCION'!#REF!),"")</f>
        <v>#REF!</v>
      </c>
      <c r="M13" s="23" t="e">
        <f>IF(AND('MAPA CORRUPCION'!#REF!="Muy Alta",'MAPA CORRUPCION'!#REF!="Leve"),CONCATENATE("R8C",'MAPA CORRUPCION'!#REF!),"")</f>
        <v>#REF!</v>
      </c>
      <c r="N13" s="23" t="e">
        <f>IF(AND('MAPA CORRUPCION'!#REF!="Muy Alta",'MAPA CORRUPCION'!#REF!="Leve"),CONCATENATE("R8C",'MAPA CORRUPCION'!#REF!),"")</f>
        <v>#REF!</v>
      </c>
      <c r="O13" s="19" t="e">
        <f>IF(AND('MAPA CORRUPCION'!#REF!="Muy Alta",'MAPA CORRUPCION'!#REF!="Leve"),CONCATENATE("R8C",'MAPA CORRUPCION'!#REF!),"")</f>
        <v>#REF!</v>
      </c>
      <c r="P13" s="17" t="e">
        <f>IF(AND('MAPA CORRUPCION'!#REF!="Muy Alta",'MAPA CORRUPCION'!#REF!="Menor"),CONCATENATE("R8C",'MAPA CORRUPCION'!#REF!),"")</f>
        <v>#REF!</v>
      </c>
      <c r="Q13" s="18" t="e">
        <f>IF(AND('MAPA CORRUPCION'!#REF!="Muy Alta",'MAPA CORRUPCION'!#REF!="Menor"),CONCATENATE("R8C",'MAPA CORRUPCION'!#REF!),"")</f>
        <v>#REF!</v>
      </c>
      <c r="R13" s="23" t="e">
        <f>IF(AND('MAPA CORRUPCION'!#REF!="Muy Alta",'MAPA CORRUPCION'!#REF!="Menor"),CONCATENATE("R8C",'MAPA CORRUPCION'!#REF!),"")</f>
        <v>#REF!</v>
      </c>
      <c r="S13" s="23" t="e">
        <f>IF(AND('MAPA CORRUPCION'!#REF!="Muy Alta",'MAPA CORRUPCION'!#REF!="Menor"),CONCATENATE("R8C",'MAPA CORRUPCION'!#REF!),"")</f>
        <v>#REF!</v>
      </c>
      <c r="T13" s="23" t="e">
        <f>IF(AND('MAPA CORRUPCION'!#REF!="Muy Alta",'MAPA CORRUPCION'!#REF!="Menor"),CONCATENATE("R8C",'MAPA CORRUPCION'!#REF!),"")</f>
        <v>#REF!</v>
      </c>
      <c r="U13" s="19" t="e">
        <f>IF(AND('MAPA CORRUPCION'!#REF!="Muy Alta",'MAPA CORRUPCION'!#REF!="Menor"),CONCATENATE("R8C",'MAPA CORRUPCION'!#REF!),"")</f>
        <v>#REF!</v>
      </c>
      <c r="V13" s="17" t="e">
        <f>IF(AND('MAPA CORRUPCION'!#REF!="Muy Alta",'MAPA CORRUPCION'!#REF!="Moderado"),CONCATENATE("R8C",'MAPA CORRUPCION'!#REF!),"")</f>
        <v>#REF!</v>
      </c>
      <c r="W13" s="18" t="e">
        <f>IF(AND('MAPA CORRUPCION'!#REF!="Muy Alta",'MAPA CORRUPCION'!#REF!="Moderado"),CONCATENATE("R8C",'MAPA CORRUPCION'!#REF!),"")</f>
        <v>#REF!</v>
      </c>
      <c r="X13" s="23" t="e">
        <f>IF(AND('MAPA CORRUPCION'!#REF!="Muy Alta",'MAPA CORRUPCION'!#REF!="Moderado"),CONCATENATE("R8C",'MAPA CORRUPCION'!#REF!),"")</f>
        <v>#REF!</v>
      </c>
      <c r="Y13" s="23" t="e">
        <f>IF(AND('MAPA CORRUPCION'!#REF!="Muy Alta",'MAPA CORRUPCION'!#REF!="Moderado"),CONCATENATE("R8C",'MAPA CORRUPCION'!#REF!),"")</f>
        <v>#REF!</v>
      </c>
      <c r="Z13" s="23" t="e">
        <f>IF(AND('MAPA CORRUPCION'!#REF!="Muy Alta",'MAPA CORRUPCION'!#REF!="Moderado"),CONCATENATE("R8C",'MAPA CORRUPCION'!#REF!),"")</f>
        <v>#REF!</v>
      </c>
      <c r="AA13" s="19" t="e">
        <f>IF(AND('MAPA CORRUPCION'!#REF!="Muy Alta",'MAPA CORRUPCION'!#REF!="Moderado"),CONCATENATE("R8C",'MAPA CORRUPCION'!#REF!),"")</f>
        <v>#REF!</v>
      </c>
      <c r="AB13" s="17" t="e">
        <f>IF(AND('MAPA CORRUPCION'!#REF!="Muy Alta",'MAPA CORRUPCION'!#REF!="Mayor"),CONCATENATE("R8C",'MAPA CORRUPCION'!#REF!),"")</f>
        <v>#REF!</v>
      </c>
      <c r="AC13" s="18" t="e">
        <f>IF(AND('MAPA CORRUPCION'!#REF!="Muy Alta",'MAPA CORRUPCION'!#REF!="Mayor"),CONCATENATE("R8C",'MAPA CORRUPCION'!#REF!),"")</f>
        <v>#REF!</v>
      </c>
      <c r="AD13" s="23" t="e">
        <f>IF(AND('MAPA CORRUPCION'!#REF!="Muy Alta",'MAPA CORRUPCION'!#REF!="Mayor"),CONCATENATE("R8C",'MAPA CORRUPCION'!#REF!),"")</f>
        <v>#REF!</v>
      </c>
      <c r="AE13" s="23" t="e">
        <f>IF(AND('MAPA CORRUPCION'!#REF!="Muy Alta",'MAPA CORRUPCION'!#REF!="Mayor"),CONCATENATE("R8C",'MAPA CORRUPCION'!#REF!),"")</f>
        <v>#REF!</v>
      </c>
      <c r="AF13" s="23" t="e">
        <f>IF(AND('MAPA CORRUPCION'!#REF!="Muy Alta",'MAPA CORRUPCION'!#REF!="Mayor"),CONCATENATE("R8C",'MAPA CORRUPCION'!#REF!),"")</f>
        <v>#REF!</v>
      </c>
      <c r="AG13" s="19" t="e">
        <f>IF(AND('MAPA CORRUPCION'!#REF!="Muy Alta",'MAPA CORRUPCION'!#REF!="Mayor"),CONCATENATE("R8C",'MAPA CORRUPCION'!#REF!),"")</f>
        <v>#REF!</v>
      </c>
      <c r="AH13" s="20" t="e">
        <f>IF(AND('MAPA CORRUPCION'!#REF!="Muy Alta",'MAPA CORRUPCION'!#REF!="Catastrófico"),CONCATENATE("R8C",'MAPA CORRUPCION'!#REF!),"")</f>
        <v>#REF!</v>
      </c>
      <c r="AI13" s="21" t="e">
        <f>IF(AND('MAPA CORRUPCION'!#REF!="Muy Alta",'MAPA CORRUPCION'!#REF!="Catastrófico"),CONCATENATE("R8C",'MAPA CORRUPCION'!#REF!),"")</f>
        <v>#REF!</v>
      </c>
      <c r="AJ13" s="21" t="e">
        <f>IF(AND('MAPA CORRUPCION'!#REF!="Muy Alta",'MAPA CORRUPCION'!#REF!="Catastrófico"),CONCATENATE("R8C",'MAPA CORRUPCION'!#REF!),"")</f>
        <v>#REF!</v>
      </c>
      <c r="AK13" s="21" t="e">
        <f>IF(AND('MAPA CORRUPCION'!#REF!="Muy Alta",'MAPA CORRUPCION'!#REF!="Catastrófico"),CONCATENATE("R8C",'MAPA CORRUPCION'!#REF!),"")</f>
        <v>#REF!</v>
      </c>
      <c r="AL13" s="21" t="e">
        <f>IF(AND('MAPA CORRUPCION'!#REF!="Muy Alta",'MAPA CORRUPCION'!#REF!="Catastrófico"),CONCATENATE("R8C",'MAPA CORRUPCION'!#REF!),"")</f>
        <v>#REF!</v>
      </c>
      <c r="AM13" s="22" t="e">
        <f>IF(AND('MAPA CORRUPCION'!#REF!="Muy Alta",'MAPA CORRUPCION'!#REF!="Catastrófico"),CONCATENATE("R8C",'MAPA CORRUPCION'!#REF!),"")</f>
        <v>#REF!</v>
      </c>
      <c r="AN13" s="49"/>
      <c r="AO13" s="404"/>
      <c r="AP13" s="405"/>
      <c r="AQ13" s="405"/>
      <c r="AR13" s="405"/>
      <c r="AS13" s="405"/>
      <c r="AT13" s="406"/>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row>
    <row r="14" spans="1:91" ht="15" customHeight="1" x14ac:dyDescent="0.25">
      <c r="A14" s="49"/>
      <c r="B14" s="296"/>
      <c r="C14" s="296"/>
      <c r="D14" s="297"/>
      <c r="E14" s="397"/>
      <c r="F14" s="398"/>
      <c r="G14" s="398"/>
      <c r="H14" s="398"/>
      <c r="I14" s="413"/>
      <c r="J14" s="17" t="e">
        <f>IF(AND('MAPA CORRUPCION'!#REF!="Muy Alta",'MAPA CORRUPCION'!#REF!="Leve"),CONCATENATE("R9C",'MAPA CORRUPCION'!#REF!),"")</f>
        <v>#REF!</v>
      </c>
      <c r="K14" s="18" t="e">
        <f>IF(AND('MAPA CORRUPCION'!#REF!="Muy Alta",'MAPA CORRUPCION'!#REF!="Leve"),CONCATENATE("R9C",'MAPA CORRUPCION'!#REF!),"")</f>
        <v>#REF!</v>
      </c>
      <c r="L14" s="23" t="e">
        <f>IF(AND('MAPA CORRUPCION'!#REF!="Muy Alta",'MAPA CORRUPCION'!#REF!="Leve"),CONCATENATE("R9C",'MAPA CORRUPCION'!#REF!),"")</f>
        <v>#REF!</v>
      </c>
      <c r="M14" s="23" t="e">
        <f>IF(AND('MAPA CORRUPCION'!#REF!="Muy Alta",'MAPA CORRUPCION'!#REF!="Leve"),CONCATENATE("R9C",'MAPA CORRUPCION'!#REF!),"")</f>
        <v>#REF!</v>
      </c>
      <c r="N14" s="23" t="e">
        <f>IF(AND('MAPA CORRUPCION'!#REF!="Muy Alta",'MAPA CORRUPCION'!#REF!="Leve"),CONCATENATE("R9C",'MAPA CORRUPCION'!#REF!),"")</f>
        <v>#REF!</v>
      </c>
      <c r="O14" s="19" t="e">
        <f>IF(AND('MAPA CORRUPCION'!#REF!="Muy Alta",'MAPA CORRUPCION'!#REF!="Leve"),CONCATENATE("R9C",'MAPA CORRUPCION'!#REF!),"")</f>
        <v>#REF!</v>
      </c>
      <c r="P14" s="17" t="e">
        <f>IF(AND('MAPA CORRUPCION'!#REF!="Muy Alta",'MAPA CORRUPCION'!#REF!="Menor"),CONCATENATE("R9C",'MAPA CORRUPCION'!#REF!),"")</f>
        <v>#REF!</v>
      </c>
      <c r="Q14" s="18" t="e">
        <f>IF(AND('MAPA CORRUPCION'!#REF!="Muy Alta",'MAPA CORRUPCION'!#REF!="Menor"),CONCATENATE("R9C",'MAPA CORRUPCION'!#REF!),"")</f>
        <v>#REF!</v>
      </c>
      <c r="R14" s="23" t="e">
        <f>IF(AND('MAPA CORRUPCION'!#REF!="Muy Alta",'MAPA CORRUPCION'!#REF!="Menor"),CONCATENATE("R9C",'MAPA CORRUPCION'!#REF!),"")</f>
        <v>#REF!</v>
      </c>
      <c r="S14" s="23" t="e">
        <f>IF(AND('MAPA CORRUPCION'!#REF!="Muy Alta",'MAPA CORRUPCION'!#REF!="Menor"),CONCATENATE("R9C",'MAPA CORRUPCION'!#REF!),"")</f>
        <v>#REF!</v>
      </c>
      <c r="T14" s="23" t="e">
        <f>IF(AND('MAPA CORRUPCION'!#REF!="Muy Alta",'MAPA CORRUPCION'!#REF!="Menor"),CONCATENATE("R9C",'MAPA CORRUPCION'!#REF!),"")</f>
        <v>#REF!</v>
      </c>
      <c r="U14" s="19" t="e">
        <f>IF(AND('MAPA CORRUPCION'!#REF!="Muy Alta",'MAPA CORRUPCION'!#REF!="Menor"),CONCATENATE("R9C",'MAPA CORRUPCION'!#REF!),"")</f>
        <v>#REF!</v>
      </c>
      <c r="V14" s="17" t="e">
        <f>IF(AND('MAPA CORRUPCION'!#REF!="Muy Alta",'MAPA CORRUPCION'!#REF!="Moderado"),CONCATENATE("R9C",'MAPA CORRUPCION'!#REF!),"")</f>
        <v>#REF!</v>
      </c>
      <c r="W14" s="18" t="e">
        <f>IF(AND('MAPA CORRUPCION'!#REF!="Muy Alta",'MAPA CORRUPCION'!#REF!="Moderado"),CONCATENATE("R9C",'MAPA CORRUPCION'!#REF!),"")</f>
        <v>#REF!</v>
      </c>
      <c r="X14" s="23" t="e">
        <f>IF(AND('MAPA CORRUPCION'!#REF!="Muy Alta",'MAPA CORRUPCION'!#REF!="Moderado"),CONCATENATE("R9C",'MAPA CORRUPCION'!#REF!),"")</f>
        <v>#REF!</v>
      </c>
      <c r="Y14" s="23" t="e">
        <f>IF(AND('MAPA CORRUPCION'!#REF!="Muy Alta",'MAPA CORRUPCION'!#REF!="Moderado"),CONCATENATE("R9C",'MAPA CORRUPCION'!#REF!),"")</f>
        <v>#REF!</v>
      </c>
      <c r="Z14" s="23" t="e">
        <f>IF(AND('MAPA CORRUPCION'!#REF!="Muy Alta",'MAPA CORRUPCION'!#REF!="Moderado"),CONCATENATE("R9C",'MAPA CORRUPCION'!#REF!),"")</f>
        <v>#REF!</v>
      </c>
      <c r="AA14" s="19" t="e">
        <f>IF(AND('MAPA CORRUPCION'!#REF!="Muy Alta",'MAPA CORRUPCION'!#REF!="Moderado"),CONCATENATE("R9C",'MAPA CORRUPCION'!#REF!),"")</f>
        <v>#REF!</v>
      </c>
      <c r="AB14" s="17" t="e">
        <f>IF(AND('MAPA CORRUPCION'!#REF!="Muy Alta",'MAPA CORRUPCION'!#REF!="Mayor"),CONCATENATE("R9C",'MAPA CORRUPCION'!#REF!),"")</f>
        <v>#REF!</v>
      </c>
      <c r="AC14" s="18" t="e">
        <f>IF(AND('MAPA CORRUPCION'!#REF!="Muy Alta",'MAPA CORRUPCION'!#REF!="Mayor"),CONCATENATE("R9C",'MAPA CORRUPCION'!#REF!),"")</f>
        <v>#REF!</v>
      </c>
      <c r="AD14" s="23" t="e">
        <f>IF(AND('MAPA CORRUPCION'!#REF!="Muy Alta",'MAPA CORRUPCION'!#REF!="Mayor"),CONCATENATE("R9C",'MAPA CORRUPCION'!#REF!),"")</f>
        <v>#REF!</v>
      </c>
      <c r="AE14" s="23" t="e">
        <f>IF(AND('MAPA CORRUPCION'!#REF!="Muy Alta",'MAPA CORRUPCION'!#REF!="Mayor"),CONCATENATE("R9C",'MAPA CORRUPCION'!#REF!),"")</f>
        <v>#REF!</v>
      </c>
      <c r="AF14" s="23" t="e">
        <f>IF(AND('MAPA CORRUPCION'!#REF!="Muy Alta",'MAPA CORRUPCION'!#REF!="Mayor"),CONCATENATE("R9C",'MAPA CORRUPCION'!#REF!),"")</f>
        <v>#REF!</v>
      </c>
      <c r="AG14" s="19" t="e">
        <f>IF(AND('MAPA CORRUPCION'!#REF!="Muy Alta",'MAPA CORRUPCION'!#REF!="Mayor"),CONCATENATE("R9C",'MAPA CORRUPCION'!#REF!),"")</f>
        <v>#REF!</v>
      </c>
      <c r="AH14" s="20" t="e">
        <f>IF(AND('MAPA CORRUPCION'!#REF!="Muy Alta",'MAPA CORRUPCION'!#REF!="Catastrófico"),CONCATENATE("R9C",'MAPA CORRUPCION'!#REF!),"")</f>
        <v>#REF!</v>
      </c>
      <c r="AI14" s="21" t="e">
        <f>IF(AND('MAPA CORRUPCION'!#REF!="Muy Alta",'MAPA CORRUPCION'!#REF!="Catastrófico"),CONCATENATE("R9C",'MAPA CORRUPCION'!#REF!),"")</f>
        <v>#REF!</v>
      </c>
      <c r="AJ14" s="21" t="e">
        <f>IF(AND('MAPA CORRUPCION'!#REF!="Muy Alta",'MAPA CORRUPCION'!#REF!="Catastrófico"),CONCATENATE("R9C",'MAPA CORRUPCION'!#REF!),"")</f>
        <v>#REF!</v>
      </c>
      <c r="AK14" s="21" t="e">
        <f>IF(AND('MAPA CORRUPCION'!#REF!="Muy Alta",'MAPA CORRUPCION'!#REF!="Catastrófico"),CONCATENATE("R9C",'MAPA CORRUPCION'!#REF!),"")</f>
        <v>#REF!</v>
      </c>
      <c r="AL14" s="21" t="e">
        <f>IF(AND('MAPA CORRUPCION'!#REF!="Muy Alta",'MAPA CORRUPCION'!#REF!="Catastrófico"),CONCATENATE("R9C",'MAPA CORRUPCION'!#REF!),"")</f>
        <v>#REF!</v>
      </c>
      <c r="AM14" s="22" t="e">
        <f>IF(AND('MAPA CORRUPCION'!#REF!="Muy Alta",'MAPA CORRUPCION'!#REF!="Catastrófico"),CONCATENATE("R9C",'MAPA CORRUPCION'!#REF!),"")</f>
        <v>#REF!</v>
      </c>
      <c r="AN14" s="49"/>
      <c r="AO14" s="404"/>
      <c r="AP14" s="405"/>
      <c r="AQ14" s="405"/>
      <c r="AR14" s="405"/>
      <c r="AS14" s="405"/>
      <c r="AT14" s="406"/>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row>
    <row r="15" spans="1:91" ht="15.75" customHeight="1" thickBot="1" x14ac:dyDescent="0.3">
      <c r="A15" s="49"/>
      <c r="B15" s="296"/>
      <c r="C15" s="296"/>
      <c r="D15" s="297"/>
      <c r="E15" s="399"/>
      <c r="F15" s="400"/>
      <c r="G15" s="400"/>
      <c r="H15" s="400"/>
      <c r="I15" s="414"/>
      <c r="J15" s="24" t="e">
        <f>IF(AND('MAPA CORRUPCION'!#REF!="Muy Alta",'MAPA CORRUPCION'!#REF!="Leve"),CONCATENATE("R10C",'MAPA CORRUPCION'!#REF!),"")</f>
        <v>#REF!</v>
      </c>
      <c r="K15" s="25" t="e">
        <f>IF(AND('MAPA CORRUPCION'!#REF!="Muy Alta",'MAPA CORRUPCION'!#REF!="Leve"),CONCATENATE("R10C",'MAPA CORRUPCION'!#REF!),"")</f>
        <v>#REF!</v>
      </c>
      <c r="L15" s="25" t="e">
        <f>IF(AND('MAPA CORRUPCION'!#REF!="Muy Alta",'MAPA CORRUPCION'!#REF!="Leve"),CONCATENATE("R10C",'MAPA CORRUPCION'!#REF!),"")</f>
        <v>#REF!</v>
      </c>
      <c r="M15" s="25" t="e">
        <f>IF(AND('MAPA CORRUPCION'!#REF!="Muy Alta",'MAPA CORRUPCION'!#REF!="Leve"),CONCATENATE("R10C",'MAPA CORRUPCION'!#REF!),"")</f>
        <v>#REF!</v>
      </c>
      <c r="N15" s="25" t="e">
        <f>IF(AND('MAPA CORRUPCION'!#REF!="Muy Alta",'MAPA CORRUPCION'!#REF!="Leve"),CONCATENATE("R10C",'MAPA CORRUPCION'!#REF!),"")</f>
        <v>#REF!</v>
      </c>
      <c r="O15" s="26" t="e">
        <f>IF(AND('MAPA CORRUPCION'!#REF!="Muy Alta",'MAPA CORRUPCION'!#REF!="Leve"),CONCATENATE("R10C",'MAPA CORRUPCION'!#REF!),"")</f>
        <v>#REF!</v>
      </c>
      <c r="P15" s="17" t="e">
        <f>IF(AND('MAPA CORRUPCION'!#REF!="Muy Alta",'MAPA CORRUPCION'!#REF!="Menor"),CONCATENATE("R10C",'MAPA CORRUPCION'!#REF!),"")</f>
        <v>#REF!</v>
      </c>
      <c r="Q15" s="18" t="e">
        <f>IF(AND('MAPA CORRUPCION'!#REF!="Muy Alta",'MAPA CORRUPCION'!#REF!="Menor"),CONCATENATE("R10C",'MAPA CORRUPCION'!#REF!),"")</f>
        <v>#REF!</v>
      </c>
      <c r="R15" s="18" t="e">
        <f>IF(AND('MAPA CORRUPCION'!#REF!="Muy Alta",'MAPA CORRUPCION'!#REF!="Menor"),CONCATENATE("R10C",'MAPA CORRUPCION'!#REF!),"")</f>
        <v>#REF!</v>
      </c>
      <c r="S15" s="18" t="e">
        <f>IF(AND('MAPA CORRUPCION'!#REF!="Muy Alta",'MAPA CORRUPCION'!#REF!="Menor"),CONCATENATE("R10C",'MAPA CORRUPCION'!#REF!),"")</f>
        <v>#REF!</v>
      </c>
      <c r="T15" s="18" t="e">
        <f>IF(AND('MAPA CORRUPCION'!#REF!="Muy Alta",'MAPA CORRUPCION'!#REF!="Menor"),CONCATENATE("R10C",'MAPA CORRUPCION'!#REF!),"")</f>
        <v>#REF!</v>
      </c>
      <c r="U15" s="19" t="e">
        <f>IF(AND('MAPA CORRUPCION'!#REF!="Muy Alta",'MAPA CORRUPCION'!#REF!="Menor"),CONCATENATE("R10C",'MAPA CORRUPCION'!#REF!),"")</f>
        <v>#REF!</v>
      </c>
      <c r="V15" s="24" t="e">
        <f>IF(AND('MAPA CORRUPCION'!#REF!="Muy Alta",'MAPA CORRUPCION'!#REF!="Moderado"),CONCATENATE("R10C",'MAPA CORRUPCION'!#REF!),"")</f>
        <v>#REF!</v>
      </c>
      <c r="W15" s="25" t="e">
        <f>IF(AND('MAPA CORRUPCION'!#REF!="Muy Alta",'MAPA CORRUPCION'!#REF!="Moderado"),CONCATENATE("R10C",'MAPA CORRUPCION'!#REF!),"")</f>
        <v>#REF!</v>
      </c>
      <c r="X15" s="25" t="e">
        <f>IF(AND('MAPA CORRUPCION'!#REF!="Muy Alta",'MAPA CORRUPCION'!#REF!="Moderado"),CONCATENATE("R10C",'MAPA CORRUPCION'!#REF!),"")</f>
        <v>#REF!</v>
      </c>
      <c r="Y15" s="25" t="e">
        <f>IF(AND('MAPA CORRUPCION'!#REF!="Muy Alta",'MAPA CORRUPCION'!#REF!="Moderado"),CONCATENATE("R10C",'MAPA CORRUPCION'!#REF!),"")</f>
        <v>#REF!</v>
      </c>
      <c r="Z15" s="25" t="e">
        <f>IF(AND('MAPA CORRUPCION'!#REF!="Muy Alta",'MAPA CORRUPCION'!#REF!="Moderado"),CONCATENATE("R10C",'MAPA CORRUPCION'!#REF!),"")</f>
        <v>#REF!</v>
      </c>
      <c r="AA15" s="26" t="e">
        <f>IF(AND('MAPA CORRUPCION'!#REF!="Muy Alta",'MAPA CORRUPCION'!#REF!="Moderado"),CONCATENATE("R10C",'MAPA CORRUPCION'!#REF!),"")</f>
        <v>#REF!</v>
      </c>
      <c r="AB15" s="17" t="e">
        <f>IF(AND('MAPA CORRUPCION'!#REF!="Muy Alta",'MAPA CORRUPCION'!#REF!="Mayor"),CONCATENATE("R10C",'MAPA CORRUPCION'!#REF!),"")</f>
        <v>#REF!</v>
      </c>
      <c r="AC15" s="18" t="e">
        <f>IF(AND('MAPA CORRUPCION'!#REF!="Muy Alta",'MAPA CORRUPCION'!#REF!="Mayor"),CONCATENATE("R10C",'MAPA CORRUPCION'!#REF!),"")</f>
        <v>#REF!</v>
      </c>
      <c r="AD15" s="18" t="e">
        <f>IF(AND('MAPA CORRUPCION'!#REF!="Muy Alta",'MAPA CORRUPCION'!#REF!="Mayor"),CONCATENATE("R10C",'MAPA CORRUPCION'!#REF!),"")</f>
        <v>#REF!</v>
      </c>
      <c r="AE15" s="18" t="e">
        <f>IF(AND('MAPA CORRUPCION'!#REF!="Muy Alta",'MAPA CORRUPCION'!#REF!="Mayor"),CONCATENATE("R10C",'MAPA CORRUPCION'!#REF!),"")</f>
        <v>#REF!</v>
      </c>
      <c r="AF15" s="18" t="e">
        <f>IF(AND('MAPA CORRUPCION'!#REF!="Muy Alta",'MAPA CORRUPCION'!#REF!="Mayor"),CONCATENATE("R10C",'MAPA CORRUPCION'!#REF!),"")</f>
        <v>#REF!</v>
      </c>
      <c r="AG15" s="19" t="e">
        <f>IF(AND('MAPA CORRUPCION'!#REF!="Muy Alta",'MAPA CORRUPCION'!#REF!="Mayor"),CONCATENATE("R10C",'MAPA CORRUPCION'!#REF!),"")</f>
        <v>#REF!</v>
      </c>
      <c r="AH15" s="27" t="e">
        <f>IF(AND('MAPA CORRUPCION'!#REF!="Muy Alta",'MAPA CORRUPCION'!#REF!="Catastrófico"),CONCATENATE("R10C",'MAPA CORRUPCION'!#REF!),"")</f>
        <v>#REF!</v>
      </c>
      <c r="AI15" s="28" t="e">
        <f>IF(AND('MAPA CORRUPCION'!#REF!="Muy Alta",'MAPA CORRUPCION'!#REF!="Catastrófico"),CONCATENATE("R10C",'MAPA CORRUPCION'!#REF!),"")</f>
        <v>#REF!</v>
      </c>
      <c r="AJ15" s="28" t="e">
        <f>IF(AND('MAPA CORRUPCION'!#REF!="Muy Alta",'MAPA CORRUPCION'!#REF!="Catastrófico"),CONCATENATE("R10C",'MAPA CORRUPCION'!#REF!),"")</f>
        <v>#REF!</v>
      </c>
      <c r="AK15" s="28" t="e">
        <f>IF(AND('MAPA CORRUPCION'!#REF!="Muy Alta",'MAPA CORRUPCION'!#REF!="Catastrófico"),CONCATENATE("R10C",'MAPA CORRUPCION'!#REF!),"")</f>
        <v>#REF!</v>
      </c>
      <c r="AL15" s="28" t="e">
        <f>IF(AND('MAPA CORRUPCION'!#REF!="Muy Alta",'MAPA CORRUPCION'!#REF!="Catastrófico"),CONCATENATE("R10C",'MAPA CORRUPCION'!#REF!),"")</f>
        <v>#REF!</v>
      </c>
      <c r="AM15" s="29" t="e">
        <f>IF(AND('MAPA CORRUPCION'!#REF!="Muy Alta",'MAPA CORRUPCION'!#REF!="Catastrófico"),CONCATENATE("R10C",'MAPA CORRUPCION'!#REF!),"")</f>
        <v>#REF!</v>
      </c>
      <c r="AN15" s="49"/>
      <c r="AO15" s="407"/>
      <c r="AP15" s="408"/>
      <c r="AQ15" s="408"/>
      <c r="AR15" s="408"/>
      <c r="AS15" s="408"/>
      <c r="AT15" s="40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row>
    <row r="16" spans="1:91" ht="15" customHeight="1" x14ac:dyDescent="0.25">
      <c r="A16" s="49"/>
      <c r="B16" s="296"/>
      <c r="C16" s="296"/>
      <c r="D16" s="297"/>
      <c r="E16" s="393" t="s">
        <v>100</v>
      </c>
      <c r="F16" s="394"/>
      <c r="G16" s="394"/>
      <c r="H16" s="394"/>
      <c r="I16" s="394"/>
      <c r="J16" s="30" t="str">
        <f>IF(AND('MAPA CORRUPCION'!$AB$5="Alta",'MAPA CORRUPCION'!$AD$5="Leve"),CONCATENATE("R1C",'MAPA CORRUPCION'!$R$5),"")</f>
        <v/>
      </c>
      <c r="K16" s="31" t="e">
        <f>IF(AND('MAPA CORRUPCION'!#REF!="Alta",'MAPA CORRUPCION'!#REF!="Leve"),CONCATENATE("R1C",'MAPA CORRUPCION'!#REF!),"")</f>
        <v>#REF!</v>
      </c>
      <c r="L16" s="31" t="e">
        <f>IF(AND('MAPA CORRUPCION'!#REF!="Alta",'MAPA CORRUPCION'!#REF!="Leve"),CONCATENATE("R1C",'MAPA CORRUPCION'!#REF!),"")</f>
        <v>#REF!</v>
      </c>
      <c r="M16" s="31" t="e">
        <f>IF(AND('MAPA CORRUPCION'!#REF!="Alta",'MAPA CORRUPCION'!#REF!="Leve"),CONCATENATE("R1C",'MAPA CORRUPCION'!#REF!),"")</f>
        <v>#REF!</v>
      </c>
      <c r="N16" s="31" t="e">
        <f>IF(AND('MAPA CORRUPCION'!#REF!="Alta",'MAPA CORRUPCION'!#REF!="Leve"),CONCATENATE("R1C",'MAPA CORRUPCION'!#REF!),"")</f>
        <v>#REF!</v>
      </c>
      <c r="O16" s="32" t="e">
        <f>IF(AND('MAPA CORRUPCION'!#REF!="Alta",'MAPA CORRUPCION'!#REF!="Leve"),CONCATENATE("R1C",'MAPA CORRUPCION'!#REF!),"")</f>
        <v>#REF!</v>
      </c>
      <c r="P16" s="30" t="str">
        <f>IF(AND('MAPA CORRUPCION'!$AB$5="Alta",'MAPA CORRUPCION'!$AD$5="Menor"),CONCATENATE("R1C",'MAPA CORRUPCION'!$R$5),"")</f>
        <v/>
      </c>
      <c r="Q16" s="31" t="e">
        <f>IF(AND('MAPA CORRUPCION'!#REF!="Alta",'MAPA CORRUPCION'!#REF!="Menor"),CONCATENATE("R1C",'MAPA CORRUPCION'!#REF!),"")</f>
        <v>#REF!</v>
      </c>
      <c r="R16" s="31" t="e">
        <f>IF(AND('MAPA CORRUPCION'!#REF!="Alta",'MAPA CORRUPCION'!#REF!="Menor"),CONCATENATE("R1C",'MAPA CORRUPCION'!#REF!),"")</f>
        <v>#REF!</v>
      </c>
      <c r="S16" s="31" t="e">
        <f>IF(AND('MAPA CORRUPCION'!#REF!="Alta",'MAPA CORRUPCION'!#REF!="Menor"),CONCATENATE("R1C",'MAPA CORRUPCION'!#REF!),"")</f>
        <v>#REF!</v>
      </c>
      <c r="T16" s="31" t="e">
        <f>IF(AND('MAPA CORRUPCION'!#REF!="Alta",'MAPA CORRUPCION'!#REF!="Menor"),CONCATENATE("R1C",'MAPA CORRUPCION'!#REF!),"")</f>
        <v>#REF!</v>
      </c>
      <c r="U16" s="32" t="e">
        <f>IF(AND('MAPA CORRUPCION'!#REF!="Alta",'MAPA CORRUPCION'!#REF!="Menor"),CONCATENATE("R1C",'MAPA CORRUPCION'!#REF!),"")</f>
        <v>#REF!</v>
      </c>
      <c r="V16" s="11" t="str">
        <f>IF(AND('MAPA CORRUPCION'!$AB$5="Alta",'MAPA CORRUPCION'!$AD$5="Moderado"),CONCATENATE("R1C",'MAPA CORRUPCION'!$R$5),"")</f>
        <v/>
      </c>
      <c r="W16" s="12" t="e">
        <f>IF(AND('MAPA CORRUPCION'!#REF!="Alta",'MAPA CORRUPCION'!#REF!="Moderado"),CONCATENATE("R1C",'MAPA CORRUPCION'!#REF!),"")</f>
        <v>#REF!</v>
      </c>
      <c r="X16" s="12" t="e">
        <f>IF(AND('MAPA CORRUPCION'!#REF!="Alta",'MAPA CORRUPCION'!#REF!="Moderado"),CONCATENATE("R1C",'MAPA CORRUPCION'!#REF!),"")</f>
        <v>#REF!</v>
      </c>
      <c r="Y16" s="12" t="e">
        <f>IF(AND('MAPA CORRUPCION'!#REF!="Alta",'MAPA CORRUPCION'!#REF!="Moderado"),CONCATENATE("R1C",'MAPA CORRUPCION'!#REF!),"")</f>
        <v>#REF!</v>
      </c>
      <c r="Z16" s="12" t="e">
        <f>IF(AND('MAPA CORRUPCION'!#REF!="Alta",'MAPA CORRUPCION'!#REF!="Moderado"),CONCATENATE("R1C",'MAPA CORRUPCION'!#REF!),"")</f>
        <v>#REF!</v>
      </c>
      <c r="AA16" s="13" t="e">
        <f>IF(AND('MAPA CORRUPCION'!#REF!="Alta",'MAPA CORRUPCION'!#REF!="Moderado"),CONCATENATE("R1C",'MAPA CORRUPCION'!#REF!),"")</f>
        <v>#REF!</v>
      </c>
      <c r="AB16" s="11" t="str">
        <f>IF(AND('MAPA CORRUPCION'!$AB$5="Alta",'MAPA CORRUPCION'!$AD$5="Mayor"),CONCATENATE("R1C",'MAPA CORRUPCION'!$R$5),"")</f>
        <v/>
      </c>
      <c r="AC16" s="12" t="e">
        <f>IF(AND('MAPA CORRUPCION'!#REF!="Alta",'MAPA CORRUPCION'!#REF!="Mayor"),CONCATENATE("R1C",'MAPA CORRUPCION'!#REF!),"")</f>
        <v>#REF!</v>
      </c>
      <c r="AD16" s="12" t="e">
        <f>IF(AND('MAPA CORRUPCION'!#REF!="Alta",'MAPA CORRUPCION'!#REF!="Mayor"),CONCATENATE("R1C",'MAPA CORRUPCION'!#REF!),"")</f>
        <v>#REF!</v>
      </c>
      <c r="AE16" s="12" t="e">
        <f>IF(AND('MAPA CORRUPCION'!#REF!="Alta",'MAPA CORRUPCION'!#REF!="Mayor"),CONCATENATE("R1C",'MAPA CORRUPCION'!#REF!),"")</f>
        <v>#REF!</v>
      </c>
      <c r="AF16" s="12" t="e">
        <f>IF(AND('MAPA CORRUPCION'!#REF!="Alta",'MAPA CORRUPCION'!#REF!="Mayor"),CONCATENATE("R1C",'MAPA CORRUPCION'!#REF!),"")</f>
        <v>#REF!</v>
      </c>
      <c r="AG16" s="13" t="e">
        <f>IF(AND('MAPA CORRUPCION'!#REF!="Alta",'MAPA CORRUPCION'!#REF!="Mayor"),CONCATENATE("R1C",'MAPA CORRUPCION'!#REF!),"")</f>
        <v>#REF!</v>
      </c>
      <c r="AH16" s="14" t="str">
        <f>IF(AND('MAPA CORRUPCION'!$AB$5="Alta",'MAPA CORRUPCION'!$AD$5="Catastrófico"),CONCATENATE("R1C",'MAPA CORRUPCION'!$R$5),"")</f>
        <v/>
      </c>
      <c r="AI16" s="15" t="e">
        <f>IF(AND('MAPA CORRUPCION'!#REF!="Alta",'MAPA CORRUPCION'!#REF!="Catastrófico"),CONCATENATE("R1C",'MAPA CORRUPCION'!#REF!),"")</f>
        <v>#REF!</v>
      </c>
      <c r="AJ16" s="15" t="e">
        <f>IF(AND('MAPA CORRUPCION'!#REF!="Alta",'MAPA CORRUPCION'!#REF!="Catastrófico"),CONCATENATE("R1C",'MAPA CORRUPCION'!#REF!),"")</f>
        <v>#REF!</v>
      </c>
      <c r="AK16" s="15" t="e">
        <f>IF(AND('MAPA CORRUPCION'!#REF!="Alta",'MAPA CORRUPCION'!#REF!="Catastrófico"),CONCATENATE("R1C",'MAPA CORRUPCION'!#REF!),"")</f>
        <v>#REF!</v>
      </c>
      <c r="AL16" s="15" t="e">
        <f>IF(AND('MAPA CORRUPCION'!#REF!="Alta",'MAPA CORRUPCION'!#REF!="Catastrófico"),CONCATENATE("R1C",'MAPA CORRUPCION'!#REF!),"")</f>
        <v>#REF!</v>
      </c>
      <c r="AM16" s="16" t="e">
        <f>IF(AND('MAPA CORRUPCION'!#REF!="Alta",'MAPA CORRUPCION'!#REF!="Catastrófico"),CONCATENATE("R1C",'MAPA CORRUPCION'!#REF!),"")</f>
        <v>#REF!</v>
      </c>
      <c r="AN16" s="49"/>
      <c r="AO16" s="384" t="s">
        <v>69</v>
      </c>
      <c r="AP16" s="385"/>
      <c r="AQ16" s="385"/>
      <c r="AR16" s="385"/>
      <c r="AS16" s="385"/>
      <c r="AT16" s="386"/>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row>
    <row r="17" spans="1:76" ht="15" customHeight="1" x14ac:dyDescent="0.25">
      <c r="A17" s="49"/>
      <c r="B17" s="296"/>
      <c r="C17" s="296"/>
      <c r="D17" s="297"/>
      <c r="E17" s="395"/>
      <c r="F17" s="396"/>
      <c r="G17" s="396"/>
      <c r="H17" s="396"/>
      <c r="I17" s="396"/>
      <c r="J17" s="33" t="str">
        <f>IF(AND('MAPA CORRUPCION'!$AB$6="Alta",'MAPA CORRUPCION'!$AD$6="Leve"),CONCATENATE("R2C",'MAPA CORRUPCION'!$R$6),"")</f>
        <v/>
      </c>
      <c r="K17" s="34" t="str">
        <f>IF(AND('MAPA CORRUPCION'!$AB$7="Alta",'MAPA CORRUPCION'!$AD$7="Leve"),CONCATENATE("R2C",'MAPA CORRUPCION'!$R$7),"")</f>
        <v/>
      </c>
      <c r="L17" s="34" t="str">
        <f>IF(AND('MAPA CORRUPCION'!$AB$8="Alta",'MAPA CORRUPCION'!$AD$8="Leve"),CONCATENATE("R2C",'MAPA CORRUPCION'!$R$8),"")</f>
        <v/>
      </c>
      <c r="M17" s="34" t="str">
        <f>IF(AND('MAPA CORRUPCION'!$AB$9="Alta",'MAPA CORRUPCION'!$AD$9="Leve"),CONCATENATE("R2C",'MAPA CORRUPCION'!$R$9),"")</f>
        <v/>
      </c>
      <c r="N17" s="34" t="e">
        <f>IF(AND('MAPA CORRUPCION'!#REF!="Alta",'MAPA CORRUPCION'!#REF!="Leve"),CONCATENATE("R2C",'MAPA CORRUPCION'!#REF!),"")</f>
        <v>#REF!</v>
      </c>
      <c r="O17" s="35" t="e">
        <f>IF(AND('MAPA CORRUPCION'!#REF!="Alta",'MAPA CORRUPCION'!#REF!="Leve"),CONCATENATE("R2C",'MAPA CORRUPCION'!#REF!),"")</f>
        <v>#REF!</v>
      </c>
      <c r="P17" s="33" t="str">
        <f>IF(AND('MAPA CORRUPCION'!$AB$6="Alta",'MAPA CORRUPCION'!$AD$6="Menor"),CONCATENATE("R2C",'MAPA CORRUPCION'!$R$6),"")</f>
        <v/>
      </c>
      <c r="Q17" s="34" t="str">
        <f>IF(AND('MAPA CORRUPCION'!$AB$7="Alta",'MAPA CORRUPCION'!$AD$7="Menor"),CONCATENATE("R2C",'MAPA CORRUPCION'!$R$7),"")</f>
        <v/>
      </c>
      <c r="R17" s="34" t="str">
        <f>IF(AND('MAPA CORRUPCION'!$AB$8="Alta",'MAPA CORRUPCION'!$AD$8="Menor"),CONCATENATE("R2C",'MAPA CORRUPCION'!$R$8),"")</f>
        <v/>
      </c>
      <c r="S17" s="34" t="str">
        <f>IF(AND('MAPA CORRUPCION'!$AB$9="Alta",'MAPA CORRUPCION'!$AD$9="Menor"),CONCATENATE("R2C",'MAPA CORRUPCION'!$R$9),"")</f>
        <v/>
      </c>
      <c r="T17" s="34" t="e">
        <f>IF(AND('MAPA CORRUPCION'!#REF!="Alta",'MAPA CORRUPCION'!#REF!="Menor"),CONCATENATE("R2C",'MAPA CORRUPCION'!#REF!),"")</f>
        <v>#REF!</v>
      </c>
      <c r="U17" s="35" t="e">
        <f>IF(AND('MAPA CORRUPCION'!#REF!="Alta",'MAPA CORRUPCION'!#REF!="Menor"),CONCATENATE("R2C",'MAPA CORRUPCION'!#REF!),"")</f>
        <v>#REF!</v>
      </c>
      <c r="V17" s="17" t="str">
        <f>IF(AND('MAPA CORRUPCION'!$AB$6="Alta",'MAPA CORRUPCION'!$AD$6="Moderado"),CONCATENATE("R2C",'MAPA CORRUPCION'!$R$6),"")</f>
        <v/>
      </c>
      <c r="W17" s="18" t="str">
        <f>IF(AND('MAPA CORRUPCION'!$AB$7="Alta",'MAPA CORRUPCION'!$AD$7="Moderado"),CONCATENATE("R2C",'MAPA CORRUPCION'!$R$7),"")</f>
        <v/>
      </c>
      <c r="X17" s="18" t="str">
        <f>IF(AND('MAPA CORRUPCION'!$AB$8="Alta",'MAPA CORRUPCION'!$AD$8="Moderado"),CONCATENATE("R2C",'MAPA CORRUPCION'!$R$8),"")</f>
        <v/>
      </c>
      <c r="Y17" s="18" t="str">
        <f>IF(AND('MAPA CORRUPCION'!$AB$9="Alta",'MAPA CORRUPCION'!$AD$9="Moderado"),CONCATENATE("R2C",'MAPA CORRUPCION'!$R$9),"")</f>
        <v/>
      </c>
      <c r="Z17" s="18" t="e">
        <f>IF(AND('MAPA CORRUPCION'!#REF!="Alta",'MAPA CORRUPCION'!#REF!="Moderado"),CONCATENATE("R2C",'MAPA CORRUPCION'!#REF!),"")</f>
        <v>#REF!</v>
      </c>
      <c r="AA17" s="19" t="e">
        <f>IF(AND('MAPA CORRUPCION'!#REF!="Alta",'MAPA CORRUPCION'!#REF!="Moderado"),CONCATENATE("R2C",'MAPA CORRUPCION'!#REF!),"")</f>
        <v>#REF!</v>
      </c>
      <c r="AB17" s="17" t="str">
        <f>IF(AND('MAPA CORRUPCION'!$AB$6="Alta",'MAPA CORRUPCION'!$AD$6="Mayor"),CONCATENATE("R2C",'MAPA CORRUPCION'!$R$6),"")</f>
        <v/>
      </c>
      <c r="AC17" s="18" t="str">
        <f>IF(AND('MAPA CORRUPCION'!$AB$7="Alta",'MAPA CORRUPCION'!$AD$7="Mayor"),CONCATENATE("R2C",'MAPA CORRUPCION'!$R$7),"")</f>
        <v/>
      </c>
      <c r="AD17" s="18" t="str">
        <f>IF(AND('MAPA CORRUPCION'!$AB$8="Alta",'MAPA CORRUPCION'!$AD$8="Mayor"),CONCATENATE("R2C",'MAPA CORRUPCION'!$R$8),"")</f>
        <v/>
      </c>
      <c r="AE17" s="18" t="str">
        <f>IF(AND('MAPA CORRUPCION'!$AB$9="Alta",'MAPA CORRUPCION'!$AD$9="Mayor"),CONCATENATE("R2C",'MAPA CORRUPCION'!$R$9),"")</f>
        <v/>
      </c>
      <c r="AF17" s="18" t="e">
        <f>IF(AND('MAPA CORRUPCION'!#REF!="Alta",'MAPA CORRUPCION'!#REF!="Mayor"),CONCATENATE("R2C",'MAPA CORRUPCION'!#REF!),"")</f>
        <v>#REF!</v>
      </c>
      <c r="AG17" s="19" t="e">
        <f>IF(AND('MAPA CORRUPCION'!#REF!="Alta",'MAPA CORRUPCION'!#REF!="Mayor"),CONCATENATE("R2C",'MAPA CORRUPCION'!#REF!),"")</f>
        <v>#REF!</v>
      </c>
      <c r="AH17" s="20" t="str">
        <f>IF(AND('MAPA CORRUPCION'!$AB$6="Alta",'MAPA CORRUPCION'!$AD$6="Catastrófico"),CONCATENATE("R2C",'MAPA CORRUPCION'!$R$6),"")</f>
        <v/>
      </c>
      <c r="AI17" s="21" t="str">
        <f>IF(AND('MAPA CORRUPCION'!$AB$7="Alta",'MAPA CORRUPCION'!$AD$7="Catastrófico"),CONCATENATE("R2C",'MAPA CORRUPCION'!$R$7),"")</f>
        <v/>
      </c>
      <c r="AJ17" s="21" t="str">
        <f>IF(AND('MAPA CORRUPCION'!$AB$8="Alta",'MAPA CORRUPCION'!$AD$8="Catastrófico"),CONCATENATE("R2C",'MAPA CORRUPCION'!$R$8),"")</f>
        <v/>
      </c>
      <c r="AK17" s="21" t="str">
        <f>IF(AND('MAPA CORRUPCION'!$AB$9="Alta",'MAPA CORRUPCION'!$AD$9="Catastrófico"),CONCATENATE("R2C",'MAPA CORRUPCION'!$R$9),"")</f>
        <v/>
      </c>
      <c r="AL17" s="21" t="e">
        <f>IF(AND('MAPA CORRUPCION'!#REF!="Alta",'MAPA CORRUPCION'!#REF!="Catastrófico"),CONCATENATE("R2C",'MAPA CORRUPCION'!#REF!),"")</f>
        <v>#REF!</v>
      </c>
      <c r="AM17" s="22" t="e">
        <f>IF(AND('MAPA CORRUPCION'!#REF!="Alta",'MAPA CORRUPCION'!#REF!="Catastrófico"),CONCATENATE("R2C",'MAPA CORRUPCION'!#REF!),"")</f>
        <v>#REF!</v>
      </c>
      <c r="AN17" s="49"/>
      <c r="AO17" s="387"/>
      <c r="AP17" s="388"/>
      <c r="AQ17" s="388"/>
      <c r="AR17" s="388"/>
      <c r="AS17" s="388"/>
      <c r="AT17" s="38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row>
    <row r="18" spans="1:76" ht="15" customHeight="1" x14ac:dyDescent="0.25">
      <c r="A18" s="49"/>
      <c r="B18" s="296"/>
      <c r="C18" s="296"/>
      <c r="D18" s="297"/>
      <c r="E18" s="397"/>
      <c r="F18" s="398"/>
      <c r="G18" s="398"/>
      <c r="H18" s="398"/>
      <c r="I18" s="396"/>
      <c r="J18" s="33" t="str">
        <f>IF(AND('MAPA CORRUPCION'!$AB$10="Alta",'MAPA CORRUPCION'!$AD$10="Leve"),CONCATENATE("R3C",'MAPA CORRUPCION'!$R$10),"")</f>
        <v/>
      </c>
      <c r="K18" s="34" t="str">
        <f>IF(AND('MAPA CORRUPCION'!$AB$11="Alta",'MAPA CORRUPCION'!$AD$11="Leve"),CONCATENATE("R3C",'MAPA CORRUPCION'!$R$11),"")</f>
        <v/>
      </c>
      <c r="L18" s="34" t="str">
        <f>IF(AND('MAPA CORRUPCION'!$AB$12="Alta",'MAPA CORRUPCION'!$AD$12="Leve"),CONCATENATE("R3C",'MAPA CORRUPCION'!$R$12),"")</f>
        <v/>
      </c>
      <c r="M18" s="34" t="str">
        <f ca="1">IF(AND('MAPA CORRUPCION'!$AB$13="Alta",'MAPA CORRUPCION'!$AD$13="Leve"),CONCATENATE("R3C",'MAPA CORRUPCION'!$R$13),"")</f>
        <v/>
      </c>
      <c r="N18" s="34" t="str">
        <f>IF(AND('MAPA CORRUPCION'!$AB$14="Alta",'MAPA CORRUPCION'!$AD$14="Leve"),CONCATENATE("R3C",'MAPA CORRUPCION'!$R$14),"")</f>
        <v/>
      </c>
      <c r="O18" s="35" t="str">
        <f>IF(AND('MAPA CORRUPCION'!$AB$15="Alta",'MAPA CORRUPCION'!$AD$15="Leve"),CONCATENATE("R3C",'MAPA CORRUPCION'!$R$15),"")</f>
        <v/>
      </c>
      <c r="P18" s="33" t="str">
        <f>IF(AND('MAPA CORRUPCION'!$AB$10="Alta",'MAPA CORRUPCION'!$AD$10="Menor"),CONCATENATE("R3C",'MAPA CORRUPCION'!$R$10),"")</f>
        <v/>
      </c>
      <c r="Q18" s="34" t="str">
        <f>IF(AND('MAPA CORRUPCION'!$AB$11="Alta",'MAPA CORRUPCION'!$AD$11="Menor"),CONCATENATE("R3C",'MAPA CORRUPCION'!$R$11),"")</f>
        <v/>
      </c>
      <c r="R18" s="34" t="str">
        <f>IF(AND('MAPA CORRUPCION'!$AB$12="Alta",'MAPA CORRUPCION'!$AD$12="Menor"),CONCATENATE("R3C",'MAPA CORRUPCION'!$R$12),"")</f>
        <v/>
      </c>
      <c r="S18" s="34" t="str">
        <f ca="1">IF(AND('MAPA CORRUPCION'!$AB$13="Alta",'MAPA CORRUPCION'!$AD$13="Menor"),CONCATENATE("R3C",'MAPA CORRUPCION'!$R$13),"")</f>
        <v/>
      </c>
      <c r="T18" s="34" t="str">
        <f>IF(AND('MAPA CORRUPCION'!$AB$14="Alta",'MAPA CORRUPCION'!$AD$14="Menor"),CONCATENATE("R3C",'MAPA CORRUPCION'!$R$14),"")</f>
        <v/>
      </c>
      <c r="U18" s="35" t="str">
        <f>IF(AND('MAPA CORRUPCION'!$AB$15="Alta",'MAPA CORRUPCION'!$AD$15="Menor"),CONCATENATE("R3C",'MAPA CORRUPCION'!$R$15),"")</f>
        <v/>
      </c>
      <c r="V18" s="17" t="str">
        <f>IF(AND('MAPA CORRUPCION'!$AB$10="Alta",'MAPA CORRUPCION'!$AD$10="Moderado"),CONCATENATE("R3C",'MAPA CORRUPCION'!$R$10),"")</f>
        <v/>
      </c>
      <c r="W18" s="18" t="str">
        <f>IF(AND('MAPA CORRUPCION'!$AB$11="Alta",'MAPA CORRUPCION'!$AD$11="Moderado"),CONCATENATE("R3C",'MAPA CORRUPCION'!$R$11),"")</f>
        <v/>
      </c>
      <c r="X18" s="18" t="str">
        <f>IF(AND('MAPA CORRUPCION'!$AB$12="Alta",'MAPA CORRUPCION'!$AD$12="Moderado"),CONCATENATE("R3C",'MAPA CORRUPCION'!$R$12),"")</f>
        <v/>
      </c>
      <c r="Y18" s="18" t="str">
        <f ca="1">IF(AND('MAPA CORRUPCION'!$AB$13="Alta",'MAPA CORRUPCION'!$AD$13="Moderado"),CONCATENATE("R3C",'MAPA CORRUPCION'!$R$13),"")</f>
        <v/>
      </c>
      <c r="Z18" s="18" t="str">
        <f>IF(AND('MAPA CORRUPCION'!$AB$14="Alta",'MAPA CORRUPCION'!$AD$14="Moderado"),CONCATENATE("R3C",'MAPA CORRUPCION'!$R$14),"")</f>
        <v/>
      </c>
      <c r="AA18" s="19" t="str">
        <f>IF(AND('MAPA CORRUPCION'!$AB$15="Alta",'MAPA CORRUPCION'!$AD$15="Moderado"),CONCATENATE("R3C",'MAPA CORRUPCION'!$R$15),"")</f>
        <v/>
      </c>
      <c r="AB18" s="17" t="str">
        <f>IF(AND('MAPA CORRUPCION'!$AB$10="Alta",'MAPA CORRUPCION'!$AD$10="Mayor"),CONCATENATE("R3C",'MAPA CORRUPCION'!$R$10),"")</f>
        <v/>
      </c>
      <c r="AC18" s="18" t="str">
        <f>IF(AND('MAPA CORRUPCION'!$AB$11="Alta",'MAPA CORRUPCION'!$AD$11="Mayor"),CONCATENATE("R3C",'MAPA CORRUPCION'!$R$11),"")</f>
        <v/>
      </c>
      <c r="AD18" s="18" t="str">
        <f>IF(AND('MAPA CORRUPCION'!$AB$12="Alta",'MAPA CORRUPCION'!$AD$12="Mayor"),CONCATENATE("R3C",'MAPA CORRUPCION'!$R$12),"")</f>
        <v/>
      </c>
      <c r="AE18" s="18" t="str">
        <f ca="1">IF(AND('MAPA CORRUPCION'!$AB$13="Alta",'MAPA CORRUPCION'!$AD$13="Mayor"),CONCATENATE("R3C",'MAPA CORRUPCION'!$R$13),"")</f>
        <v/>
      </c>
      <c r="AF18" s="18" t="str">
        <f>IF(AND('MAPA CORRUPCION'!$AB$14="Alta",'MAPA CORRUPCION'!$AD$14="Mayor"),CONCATENATE("R3C",'MAPA CORRUPCION'!$R$14),"")</f>
        <v/>
      </c>
      <c r="AG18" s="19" t="str">
        <f>IF(AND('MAPA CORRUPCION'!$AB$15="Alta",'MAPA CORRUPCION'!$AD$15="Mayor"),CONCATENATE("R3C",'MAPA CORRUPCION'!$R$15),"")</f>
        <v/>
      </c>
      <c r="AH18" s="20" t="str">
        <f>IF(AND('MAPA CORRUPCION'!$AB$10="Alta",'MAPA CORRUPCION'!$AD$10="Catastrófico"),CONCATENATE("R3C",'MAPA CORRUPCION'!$R$10),"")</f>
        <v/>
      </c>
      <c r="AI18" s="21" t="str">
        <f>IF(AND('MAPA CORRUPCION'!$AB$11="Alta",'MAPA CORRUPCION'!$AD$11="Catastrófico"),CONCATENATE("R3C",'MAPA CORRUPCION'!$R$11),"")</f>
        <v/>
      </c>
      <c r="AJ18" s="21" t="str">
        <f>IF(AND('MAPA CORRUPCION'!$AB$12="Alta",'MAPA CORRUPCION'!$AD$12="Catastrófico"),CONCATENATE("R3C",'MAPA CORRUPCION'!$R$12),"")</f>
        <v/>
      </c>
      <c r="AK18" s="21" t="str">
        <f ca="1">IF(AND('MAPA CORRUPCION'!$AB$13="Alta",'MAPA CORRUPCION'!$AD$13="Catastrófico"),CONCATENATE("R3C",'MAPA CORRUPCION'!$R$13),"")</f>
        <v/>
      </c>
      <c r="AL18" s="21" t="str">
        <f>IF(AND('MAPA CORRUPCION'!$AB$14="Alta",'MAPA CORRUPCION'!$AD$14="Catastrófico"),CONCATENATE("R3C",'MAPA CORRUPCION'!$R$14),"")</f>
        <v/>
      </c>
      <c r="AM18" s="22" t="str">
        <f>IF(AND('MAPA CORRUPCION'!$AB$15="Alta",'MAPA CORRUPCION'!$AD$15="Catastrófico"),CONCATENATE("R3C",'MAPA CORRUPCION'!$R$15),"")</f>
        <v/>
      </c>
      <c r="AN18" s="49"/>
      <c r="AO18" s="387"/>
      <c r="AP18" s="388"/>
      <c r="AQ18" s="388"/>
      <c r="AR18" s="388"/>
      <c r="AS18" s="388"/>
      <c r="AT18" s="38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row>
    <row r="19" spans="1:76" ht="15" customHeight="1" x14ac:dyDescent="0.25">
      <c r="A19" s="49"/>
      <c r="B19" s="296"/>
      <c r="C19" s="296"/>
      <c r="D19" s="297"/>
      <c r="E19" s="397"/>
      <c r="F19" s="398"/>
      <c r="G19" s="398"/>
      <c r="H19" s="398"/>
      <c r="I19" s="396"/>
      <c r="J19" s="33" t="str">
        <f>IF(AND('MAPA CORRUPCION'!$AB$16="Alta",'MAPA CORRUPCION'!$AD$16="Leve"),CONCATENATE("R4C",'MAPA CORRUPCION'!$R$16),"")</f>
        <v/>
      </c>
      <c r="K19" s="34" t="str">
        <f>IF(AND('MAPA CORRUPCION'!$AB$17="Alta",'MAPA CORRUPCION'!$AD$17="Leve"),CONCATENATE("R4C",'MAPA CORRUPCION'!$R$17),"")</f>
        <v/>
      </c>
      <c r="L19" s="34" t="e">
        <f>IF(AND('MAPA CORRUPCION'!#REF!="Alta",'MAPA CORRUPCION'!#REF!="Leve"),CONCATENATE("R4C",'MAPA CORRUPCION'!#REF!),"")</f>
        <v>#REF!</v>
      </c>
      <c r="M19" s="34" t="e">
        <f>IF(AND('MAPA CORRUPCION'!#REF!="Alta",'MAPA CORRUPCION'!#REF!="Leve"),CONCATENATE("R4C",'MAPA CORRUPCION'!#REF!),"")</f>
        <v>#REF!</v>
      </c>
      <c r="N19" s="34" t="e">
        <f>IF(AND('MAPA CORRUPCION'!#REF!="Alta",'MAPA CORRUPCION'!#REF!="Leve"),CONCATENATE("R4C",'MAPA CORRUPCION'!#REF!),"")</f>
        <v>#REF!</v>
      </c>
      <c r="O19" s="35" t="e">
        <f>IF(AND('MAPA CORRUPCION'!#REF!="Alta",'MAPA CORRUPCION'!#REF!="Leve"),CONCATENATE("R4C",'MAPA CORRUPCION'!#REF!),"")</f>
        <v>#REF!</v>
      </c>
      <c r="P19" s="33" t="str">
        <f>IF(AND('MAPA CORRUPCION'!$AB$16="Alta",'MAPA CORRUPCION'!$AD$16="Menor"),CONCATENATE("R4C",'MAPA CORRUPCION'!$R$16),"")</f>
        <v/>
      </c>
      <c r="Q19" s="34" t="str">
        <f>IF(AND('MAPA CORRUPCION'!$AB$17="Alta",'MAPA CORRUPCION'!$AD$17="Menor"),CONCATENATE("R4C",'MAPA CORRUPCION'!$R$17),"")</f>
        <v/>
      </c>
      <c r="R19" s="34" t="e">
        <f>IF(AND('MAPA CORRUPCION'!#REF!="Alta",'MAPA CORRUPCION'!#REF!="Menor"),CONCATENATE("R4C",'MAPA CORRUPCION'!#REF!),"")</f>
        <v>#REF!</v>
      </c>
      <c r="S19" s="34" t="e">
        <f>IF(AND('MAPA CORRUPCION'!#REF!="Alta",'MAPA CORRUPCION'!#REF!="Menor"),CONCATENATE("R4C",'MAPA CORRUPCION'!#REF!),"")</f>
        <v>#REF!</v>
      </c>
      <c r="T19" s="34" t="e">
        <f>IF(AND('MAPA CORRUPCION'!#REF!="Alta",'MAPA CORRUPCION'!#REF!="Menor"),CONCATENATE("R4C",'MAPA CORRUPCION'!#REF!),"")</f>
        <v>#REF!</v>
      </c>
      <c r="U19" s="35" t="e">
        <f>IF(AND('MAPA CORRUPCION'!#REF!="Alta",'MAPA CORRUPCION'!#REF!="Menor"),CONCATENATE("R4C",'MAPA CORRUPCION'!#REF!),"")</f>
        <v>#REF!</v>
      </c>
      <c r="V19" s="17" t="str">
        <f>IF(AND('MAPA CORRUPCION'!$AB$16="Alta",'MAPA CORRUPCION'!$AD$16="Moderado"),CONCATENATE("R4C",'MAPA CORRUPCION'!$R$16),"")</f>
        <v/>
      </c>
      <c r="W19" s="18" t="str">
        <f>IF(AND('MAPA CORRUPCION'!$AB$17="Alta",'MAPA CORRUPCION'!$AD$17="Moderado"),CONCATENATE("R4C",'MAPA CORRUPCION'!$R$17),"")</f>
        <v/>
      </c>
      <c r="X19" s="23" t="e">
        <f>IF(AND('MAPA CORRUPCION'!#REF!="Alta",'MAPA CORRUPCION'!#REF!="Moderado"),CONCATENATE("R4C",'MAPA CORRUPCION'!#REF!),"")</f>
        <v>#REF!</v>
      </c>
      <c r="Y19" s="23" t="e">
        <f>IF(AND('MAPA CORRUPCION'!#REF!="Alta",'MAPA CORRUPCION'!#REF!="Moderado"),CONCATENATE("R4C",'MAPA CORRUPCION'!#REF!),"")</f>
        <v>#REF!</v>
      </c>
      <c r="Z19" s="23" t="e">
        <f>IF(AND('MAPA CORRUPCION'!#REF!="Alta",'MAPA CORRUPCION'!#REF!="Moderado"),CONCATENATE("R4C",'MAPA CORRUPCION'!#REF!),"")</f>
        <v>#REF!</v>
      </c>
      <c r="AA19" s="19" t="e">
        <f>IF(AND('MAPA CORRUPCION'!#REF!="Alta",'MAPA CORRUPCION'!#REF!="Moderado"),CONCATENATE("R4C",'MAPA CORRUPCION'!#REF!),"")</f>
        <v>#REF!</v>
      </c>
      <c r="AB19" s="17" t="str">
        <f>IF(AND('MAPA CORRUPCION'!$AB$16="Alta",'MAPA CORRUPCION'!$AD$16="Mayor"),CONCATENATE("R4C",'MAPA CORRUPCION'!$R$16),"")</f>
        <v/>
      </c>
      <c r="AC19" s="18" t="str">
        <f>IF(AND('MAPA CORRUPCION'!$AB$17="Alta",'MAPA CORRUPCION'!$AD$17="Mayor"),CONCATENATE("R4C",'MAPA CORRUPCION'!$R$17),"")</f>
        <v/>
      </c>
      <c r="AD19" s="23" t="e">
        <f>IF(AND('MAPA CORRUPCION'!#REF!="Alta",'MAPA CORRUPCION'!#REF!="Mayor"),CONCATENATE("R4C",'MAPA CORRUPCION'!#REF!),"")</f>
        <v>#REF!</v>
      </c>
      <c r="AE19" s="23" t="e">
        <f>IF(AND('MAPA CORRUPCION'!#REF!="Alta",'MAPA CORRUPCION'!#REF!="Mayor"),CONCATENATE("R4C",'MAPA CORRUPCION'!#REF!),"")</f>
        <v>#REF!</v>
      </c>
      <c r="AF19" s="23" t="e">
        <f>IF(AND('MAPA CORRUPCION'!#REF!="Alta",'MAPA CORRUPCION'!#REF!="Mayor"),CONCATENATE("R4C",'MAPA CORRUPCION'!#REF!),"")</f>
        <v>#REF!</v>
      </c>
      <c r="AG19" s="19" t="e">
        <f>IF(AND('MAPA CORRUPCION'!#REF!="Alta",'MAPA CORRUPCION'!#REF!="Mayor"),CONCATENATE("R4C",'MAPA CORRUPCION'!#REF!),"")</f>
        <v>#REF!</v>
      </c>
      <c r="AH19" s="20" t="str">
        <f>IF(AND('MAPA CORRUPCION'!$AB$16="Alta",'MAPA CORRUPCION'!$AD$16="Catastrófico"),CONCATENATE("R4C",'MAPA CORRUPCION'!$R$16),"")</f>
        <v/>
      </c>
      <c r="AI19" s="21" t="str">
        <f>IF(AND('MAPA CORRUPCION'!$AB$17="Alta",'MAPA CORRUPCION'!$AD$17="Catastrófico"),CONCATENATE("R4C",'MAPA CORRUPCION'!$R$17),"")</f>
        <v/>
      </c>
      <c r="AJ19" s="21" t="e">
        <f>IF(AND('MAPA CORRUPCION'!#REF!="Alta",'MAPA CORRUPCION'!#REF!="Catastrófico"),CONCATENATE("R4C",'MAPA CORRUPCION'!#REF!),"")</f>
        <v>#REF!</v>
      </c>
      <c r="AK19" s="21" t="e">
        <f>IF(AND('MAPA CORRUPCION'!#REF!="Alta",'MAPA CORRUPCION'!#REF!="Catastrófico"),CONCATENATE("R4C",'MAPA CORRUPCION'!#REF!),"")</f>
        <v>#REF!</v>
      </c>
      <c r="AL19" s="21" t="e">
        <f>IF(AND('MAPA CORRUPCION'!#REF!="Alta",'MAPA CORRUPCION'!#REF!="Catastrófico"),CONCATENATE("R4C",'MAPA CORRUPCION'!#REF!),"")</f>
        <v>#REF!</v>
      </c>
      <c r="AM19" s="22" t="e">
        <f>IF(AND('MAPA CORRUPCION'!#REF!="Alta",'MAPA CORRUPCION'!#REF!="Catastrófico"),CONCATENATE("R4C",'MAPA CORRUPCION'!#REF!),"")</f>
        <v>#REF!</v>
      </c>
      <c r="AN19" s="49"/>
      <c r="AO19" s="387"/>
      <c r="AP19" s="388"/>
      <c r="AQ19" s="388"/>
      <c r="AR19" s="388"/>
      <c r="AS19" s="388"/>
      <c r="AT19" s="38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row>
    <row r="20" spans="1:76" ht="15" customHeight="1" x14ac:dyDescent="0.25">
      <c r="A20" s="49"/>
      <c r="B20" s="296"/>
      <c r="C20" s="296"/>
      <c r="D20" s="297"/>
      <c r="E20" s="397"/>
      <c r="F20" s="398"/>
      <c r="G20" s="398"/>
      <c r="H20" s="398"/>
      <c r="I20" s="396"/>
      <c r="J20" s="33" t="str">
        <f ca="1">IF(AND('MAPA CORRUPCION'!$AB$18="Alta",'MAPA CORRUPCION'!$AD$18="Leve"),CONCATENATE("R5C",'MAPA CORRUPCION'!$R$18),"")</f>
        <v/>
      </c>
      <c r="K20" s="34" t="e">
        <f>IF(AND('MAPA CORRUPCION'!#REF!="Alta",'MAPA CORRUPCION'!#REF!="Leve"),CONCATENATE("R5C",'MAPA CORRUPCION'!#REF!),"")</f>
        <v>#REF!</v>
      </c>
      <c r="L20" s="34" t="e">
        <f>IF(AND('MAPA CORRUPCION'!#REF!="Alta",'MAPA CORRUPCION'!#REF!="Leve"),CONCATENATE("R5C",'MAPA CORRUPCION'!#REF!),"")</f>
        <v>#REF!</v>
      </c>
      <c r="M20" s="34" t="e">
        <f>IF(AND('MAPA CORRUPCION'!#REF!="Alta",'MAPA CORRUPCION'!#REF!="Leve"),CONCATENATE("R5C",'MAPA CORRUPCION'!#REF!),"")</f>
        <v>#REF!</v>
      </c>
      <c r="N20" s="34" t="e">
        <f>IF(AND('MAPA CORRUPCION'!#REF!="Alta",'MAPA CORRUPCION'!#REF!="Leve"),CONCATENATE("R5C",'MAPA CORRUPCION'!#REF!),"")</f>
        <v>#REF!</v>
      </c>
      <c r="O20" s="35" t="e">
        <f>IF(AND('MAPA CORRUPCION'!#REF!="Alta",'MAPA CORRUPCION'!#REF!="Leve"),CONCATENATE("R5C",'MAPA CORRUPCION'!#REF!),"")</f>
        <v>#REF!</v>
      </c>
      <c r="P20" s="33" t="str">
        <f ca="1">IF(AND('MAPA CORRUPCION'!$AB$18="Alta",'MAPA CORRUPCION'!$AD$18="Menor"),CONCATENATE("R5C",'MAPA CORRUPCION'!$R$18),"")</f>
        <v/>
      </c>
      <c r="Q20" s="34" t="e">
        <f>IF(AND('MAPA CORRUPCION'!#REF!="Alta",'MAPA CORRUPCION'!#REF!="Menor"),CONCATENATE("R5C",'MAPA CORRUPCION'!#REF!),"")</f>
        <v>#REF!</v>
      </c>
      <c r="R20" s="34" t="e">
        <f>IF(AND('MAPA CORRUPCION'!#REF!="Alta",'MAPA CORRUPCION'!#REF!="Menor"),CONCATENATE("R5C",'MAPA CORRUPCION'!#REF!),"")</f>
        <v>#REF!</v>
      </c>
      <c r="S20" s="34" t="e">
        <f>IF(AND('MAPA CORRUPCION'!#REF!="Alta",'MAPA CORRUPCION'!#REF!="Menor"),CONCATENATE("R5C",'MAPA CORRUPCION'!#REF!),"")</f>
        <v>#REF!</v>
      </c>
      <c r="T20" s="34" t="e">
        <f>IF(AND('MAPA CORRUPCION'!#REF!="Alta",'MAPA CORRUPCION'!#REF!="Menor"),CONCATENATE("R5C",'MAPA CORRUPCION'!#REF!),"")</f>
        <v>#REF!</v>
      </c>
      <c r="U20" s="35" t="e">
        <f>IF(AND('MAPA CORRUPCION'!#REF!="Alta",'MAPA CORRUPCION'!#REF!="Menor"),CONCATENATE("R5C",'MAPA CORRUPCION'!#REF!),"")</f>
        <v>#REF!</v>
      </c>
      <c r="V20" s="17" t="str">
        <f ca="1">IF(AND('MAPA CORRUPCION'!$AB$18="Alta",'MAPA CORRUPCION'!$AD$18="Moderado"),CONCATENATE("R5C",'MAPA CORRUPCION'!$R$18),"")</f>
        <v/>
      </c>
      <c r="W20" s="18" t="e">
        <f>IF(AND('MAPA CORRUPCION'!#REF!="Alta",'MAPA CORRUPCION'!#REF!="Moderado"),CONCATENATE("R5C",'MAPA CORRUPCION'!#REF!),"")</f>
        <v>#REF!</v>
      </c>
      <c r="X20" s="23" t="e">
        <f>IF(AND('MAPA CORRUPCION'!#REF!="Alta",'MAPA CORRUPCION'!#REF!="Moderado"),CONCATENATE("R5C",'MAPA CORRUPCION'!#REF!),"")</f>
        <v>#REF!</v>
      </c>
      <c r="Y20" s="23" t="e">
        <f>IF(AND('MAPA CORRUPCION'!#REF!="Alta",'MAPA CORRUPCION'!#REF!="Moderado"),CONCATENATE("R5C",'MAPA CORRUPCION'!#REF!),"")</f>
        <v>#REF!</v>
      </c>
      <c r="Z20" s="23" t="e">
        <f>IF(AND('MAPA CORRUPCION'!#REF!="Alta",'MAPA CORRUPCION'!#REF!="Moderado"),CONCATENATE("R5C",'MAPA CORRUPCION'!#REF!),"")</f>
        <v>#REF!</v>
      </c>
      <c r="AA20" s="19" t="e">
        <f>IF(AND('MAPA CORRUPCION'!#REF!="Alta",'MAPA CORRUPCION'!#REF!="Moderado"),CONCATENATE("R5C",'MAPA CORRUPCION'!#REF!),"")</f>
        <v>#REF!</v>
      </c>
      <c r="AB20" s="17" t="str">
        <f ca="1">IF(AND('MAPA CORRUPCION'!$AB$18="Alta",'MAPA CORRUPCION'!$AD$18="Mayor"),CONCATENATE("R5C",'MAPA CORRUPCION'!$R$18),"")</f>
        <v/>
      </c>
      <c r="AC20" s="18" t="e">
        <f>IF(AND('MAPA CORRUPCION'!#REF!="Alta",'MAPA CORRUPCION'!#REF!="Mayor"),CONCATENATE("R5C",'MAPA CORRUPCION'!#REF!),"")</f>
        <v>#REF!</v>
      </c>
      <c r="AD20" s="23" t="e">
        <f>IF(AND('MAPA CORRUPCION'!#REF!="Alta",'MAPA CORRUPCION'!#REF!="Mayor"),CONCATENATE("R5C",'MAPA CORRUPCION'!#REF!),"")</f>
        <v>#REF!</v>
      </c>
      <c r="AE20" s="23" t="e">
        <f>IF(AND('MAPA CORRUPCION'!#REF!="Alta",'MAPA CORRUPCION'!#REF!="Mayor"),CONCATENATE("R5C",'MAPA CORRUPCION'!#REF!),"")</f>
        <v>#REF!</v>
      </c>
      <c r="AF20" s="23" t="e">
        <f>IF(AND('MAPA CORRUPCION'!#REF!="Alta",'MAPA CORRUPCION'!#REF!="Mayor"),CONCATENATE("R5C",'MAPA CORRUPCION'!#REF!),"")</f>
        <v>#REF!</v>
      </c>
      <c r="AG20" s="19" t="e">
        <f>IF(AND('MAPA CORRUPCION'!#REF!="Alta",'MAPA CORRUPCION'!#REF!="Mayor"),CONCATENATE("R5C",'MAPA CORRUPCION'!#REF!),"")</f>
        <v>#REF!</v>
      </c>
      <c r="AH20" s="20" t="str">
        <f ca="1">IF(AND('MAPA CORRUPCION'!$AB$18="Alta",'MAPA CORRUPCION'!$AD$18="Catastrófico"),CONCATENATE("R5C",'MAPA CORRUPCION'!$R$18),"")</f>
        <v/>
      </c>
      <c r="AI20" s="21" t="e">
        <f>IF(AND('MAPA CORRUPCION'!#REF!="Alta",'MAPA CORRUPCION'!#REF!="Catastrófico"),CONCATENATE("R5C",'MAPA CORRUPCION'!#REF!),"")</f>
        <v>#REF!</v>
      </c>
      <c r="AJ20" s="21" t="e">
        <f>IF(AND('MAPA CORRUPCION'!#REF!="Alta",'MAPA CORRUPCION'!#REF!="Catastrófico"),CONCATENATE("R5C",'MAPA CORRUPCION'!#REF!),"")</f>
        <v>#REF!</v>
      </c>
      <c r="AK20" s="21" t="e">
        <f>IF(AND('MAPA CORRUPCION'!#REF!="Alta",'MAPA CORRUPCION'!#REF!="Catastrófico"),CONCATENATE("R5C",'MAPA CORRUPCION'!#REF!),"")</f>
        <v>#REF!</v>
      </c>
      <c r="AL20" s="21" t="e">
        <f>IF(AND('MAPA CORRUPCION'!#REF!="Alta",'MAPA CORRUPCION'!#REF!="Catastrófico"),CONCATENATE("R5C",'MAPA CORRUPCION'!#REF!),"")</f>
        <v>#REF!</v>
      </c>
      <c r="AM20" s="22" t="e">
        <f>IF(AND('MAPA CORRUPCION'!#REF!="Alta",'MAPA CORRUPCION'!#REF!="Catastrófico"),CONCATENATE("R5C",'MAPA CORRUPCION'!#REF!),"")</f>
        <v>#REF!</v>
      </c>
      <c r="AN20" s="49"/>
      <c r="AO20" s="387"/>
      <c r="AP20" s="388"/>
      <c r="AQ20" s="388"/>
      <c r="AR20" s="388"/>
      <c r="AS20" s="388"/>
      <c r="AT20" s="38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row>
    <row r="21" spans="1:76" ht="15" customHeight="1" x14ac:dyDescent="0.25">
      <c r="A21" s="49"/>
      <c r="B21" s="296"/>
      <c r="C21" s="296"/>
      <c r="D21" s="297"/>
      <c r="E21" s="397"/>
      <c r="F21" s="398"/>
      <c r="G21" s="398"/>
      <c r="H21" s="398"/>
      <c r="I21" s="396"/>
      <c r="J21" s="33" t="e">
        <f>IF(AND('MAPA CORRUPCION'!#REF!="Alta",'MAPA CORRUPCION'!#REF!="Leve"),CONCATENATE("R6C",'MAPA CORRUPCION'!#REF!),"")</f>
        <v>#REF!</v>
      </c>
      <c r="K21" s="34" t="e">
        <f>IF(AND('MAPA CORRUPCION'!#REF!="Alta",'MAPA CORRUPCION'!#REF!="Leve"),CONCATENATE("R6C",'MAPA CORRUPCION'!#REF!),"")</f>
        <v>#REF!</v>
      </c>
      <c r="L21" s="34" t="e">
        <f>IF(AND('MAPA CORRUPCION'!#REF!="Alta",'MAPA CORRUPCION'!#REF!="Leve"),CONCATENATE("R6C",'MAPA CORRUPCION'!#REF!),"")</f>
        <v>#REF!</v>
      </c>
      <c r="M21" s="34" t="e">
        <f>IF(AND('MAPA CORRUPCION'!#REF!="Alta",'MAPA CORRUPCION'!#REF!="Leve"),CONCATENATE("R6C",'MAPA CORRUPCION'!#REF!),"")</f>
        <v>#REF!</v>
      </c>
      <c r="N21" s="34" t="e">
        <f>IF(AND('MAPA CORRUPCION'!#REF!="Alta",'MAPA CORRUPCION'!#REF!="Leve"),CONCATENATE("R6C",'MAPA CORRUPCION'!#REF!),"")</f>
        <v>#REF!</v>
      </c>
      <c r="O21" s="35" t="e">
        <f>IF(AND('MAPA CORRUPCION'!#REF!="Alta",'MAPA CORRUPCION'!#REF!="Leve"),CONCATENATE("R6C",'MAPA CORRUPCION'!#REF!),"")</f>
        <v>#REF!</v>
      </c>
      <c r="P21" s="33" t="e">
        <f>IF(AND('MAPA CORRUPCION'!#REF!="Alta",'MAPA CORRUPCION'!#REF!="Menor"),CONCATENATE("R6C",'MAPA CORRUPCION'!#REF!),"")</f>
        <v>#REF!</v>
      </c>
      <c r="Q21" s="34" t="e">
        <f>IF(AND('MAPA CORRUPCION'!#REF!="Alta",'MAPA CORRUPCION'!#REF!="Menor"),CONCATENATE("R6C",'MAPA CORRUPCION'!#REF!),"")</f>
        <v>#REF!</v>
      </c>
      <c r="R21" s="34" t="e">
        <f>IF(AND('MAPA CORRUPCION'!#REF!="Alta",'MAPA CORRUPCION'!#REF!="Menor"),CONCATENATE("R6C",'MAPA CORRUPCION'!#REF!),"")</f>
        <v>#REF!</v>
      </c>
      <c r="S21" s="34" t="e">
        <f>IF(AND('MAPA CORRUPCION'!#REF!="Alta",'MAPA CORRUPCION'!#REF!="Menor"),CONCATENATE("R6C",'MAPA CORRUPCION'!#REF!),"")</f>
        <v>#REF!</v>
      </c>
      <c r="T21" s="34" t="e">
        <f>IF(AND('MAPA CORRUPCION'!#REF!="Alta",'MAPA CORRUPCION'!#REF!="Menor"),CONCATENATE("R6C",'MAPA CORRUPCION'!#REF!),"")</f>
        <v>#REF!</v>
      </c>
      <c r="U21" s="35" t="e">
        <f>IF(AND('MAPA CORRUPCION'!#REF!="Alta",'MAPA CORRUPCION'!#REF!="Menor"),CONCATENATE("R6C",'MAPA CORRUPCION'!#REF!),"")</f>
        <v>#REF!</v>
      </c>
      <c r="V21" s="17" t="e">
        <f>IF(AND('MAPA CORRUPCION'!#REF!="Alta",'MAPA CORRUPCION'!#REF!="Moderado"),CONCATENATE("R6C",'MAPA CORRUPCION'!#REF!),"")</f>
        <v>#REF!</v>
      </c>
      <c r="W21" s="18" t="e">
        <f>IF(AND('MAPA CORRUPCION'!#REF!="Alta",'MAPA CORRUPCION'!#REF!="Moderado"),CONCATENATE("R6C",'MAPA CORRUPCION'!#REF!),"")</f>
        <v>#REF!</v>
      </c>
      <c r="X21" s="23" t="e">
        <f>IF(AND('MAPA CORRUPCION'!#REF!="Alta",'MAPA CORRUPCION'!#REF!="Moderado"),CONCATENATE("R6C",'MAPA CORRUPCION'!#REF!),"")</f>
        <v>#REF!</v>
      </c>
      <c r="Y21" s="23" t="e">
        <f>IF(AND('MAPA CORRUPCION'!#REF!="Alta",'MAPA CORRUPCION'!#REF!="Moderado"),CONCATENATE("R6C",'MAPA CORRUPCION'!#REF!),"")</f>
        <v>#REF!</v>
      </c>
      <c r="Z21" s="23" t="e">
        <f>IF(AND('MAPA CORRUPCION'!#REF!="Alta",'MAPA CORRUPCION'!#REF!="Moderado"),CONCATENATE("R6C",'MAPA CORRUPCION'!#REF!),"")</f>
        <v>#REF!</v>
      </c>
      <c r="AA21" s="19" t="e">
        <f>IF(AND('MAPA CORRUPCION'!#REF!="Alta",'MAPA CORRUPCION'!#REF!="Moderado"),CONCATENATE("R6C",'MAPA CORRUPCION'!#REF!),"")</f>
        <v>#REF!</v>
      </c>
      <c r="AB21" s="17" t="e">
        <f>IF(AND('MAPA CORRUPCION'!#REF!="Alta",'MAPA CORRUPCION'!#REF!="Mayor"),CONCATENATE("R6C",'MAPA CORRUPCION'!#REF!),"")</f>
        <v>#REF!</v>
      </c>
      <c r="AC21" s="18" t="e">
        <f>IF(AND('MAPA CORRUPCION'!#REF!="Alta",'MAPA CORRUPCION'!#REF!="Mayor"),CONCATENATE("R6C",'MAPA CORRUPCION'!#REF!),"")</f>
        <v>#REF!</v>
      </c>
      <c r="AD21" s="23" t="e">
        <f>IF(AND('MAPA CORRUPCION'!#REF!="Alta",'MAPA CORRUPCION'!#REF!="Mayor"),CONCATENATE("R6C",'MAPA CORRUPCION'!#REF!),"")</f>
        <v>#REF!</v>
      </c>
      <c r="AE21" s="23" t="e">
        <f>IF(AND('MAPA CORRUPCION'!#REF!="Alta",'MAPA CORRUPCION'!#REF!="Mayor"),CONCATENATE("R6C",'MAPA CORRUPCION'!#REF!),"")</f>
        <v>#REF!</v>
      </c>
      <c r="AF21" s="23" t="e">
        <f>IF(AND('MAPA CORRUPCION'!#REF!="Alta",'MAPA CORRUPCION'!#REF!="Mayor"),CONCATENATE("R6C",'MAPA CORRUPCION'!#REF!),"")</f>
        <v>#REF!</v>
      </c>
      <c r="AG21" s="19" t="e">
        <f>IF(AND('MAPA CORRUPCION'!#REF!="Alta",'MAPA CORRUPCION'!#REF!="Mayor"),CONCATENATE("R6C",'MAPA CORRUPCION'!#REF!),"")</f>
        <v>#REF!</v>
      </c>
      <c r="AH21" s="20" t="e">
        <f>IF(AND('MAPA CORRUPCION'!#REF!="Alta",'MAPA CORRUPCION'!#REF!="Catastrófico"),CONCATENATE("R6C",'MAPA CORRUPCION'!#REF!),"")</f>
        <v>#REF!</v>
      </c>
      <c r="AI21" s="21" t="e">
        <f>IF(AND('MAPA CORRUPCION'!#REF!="Alta",'MAPA CORRUPCION'!#REF!="Catastrófico"),CONCATENATE("R6C",'MAPA CORRUPCION'!#REF!),"")</f>
        <v>#REF!</v>
      </c>
      <c r="AJ21" s="21" t="e">
        <f>IF(AND('MAPA CORRUPCION'!#REF!="Alta",'MAPA CORRUPCION'!#REF!="Catastrófico"),CONCATENATE("R6C",'MAPA CORRUPCION'!#REF!),"")</f>
        <v>#REF!</v>
      </c>
      <c r="AK21" s="21" t="e">
        <f>IF(AND('MAPA CORRUPCION'!#REF!="Alta",'MAPA CORRUPCION'!#REF!="Catastrófico"),CONCATENATE("R6C",'MAPA CORRUPCION'!#REF!),"")</f>
        <v>#REF!</v>
      </c>
      <c r="AL21" s="21" t="e">
        <f>IF(AND('MAPA CORRUPCION'!#REF!="Alta",'MAPA CORRUPCION'!#REF!="Catastrófico"),CONCATENATE("R6C",'MAPA CORRUPCION'!#REF!),"")</f>
        <v>#REF!</v>
      </c>
      <c r="AM21" s="22" t="e">
        <f>IF(AND('MAPA CORRUPCION'!#REF!="Alta",'MAPA CORRUPCION'!#REF!="Catastrófico"),CONCATENATE("R6C",'MAPA CORRUPCION'!#REF!),"")</f>
        <v>#REF!</v>
      </c>
      <c r="AN21" s="49"/>
      <c r="AO21" s="387"/>
      <c r="AP21" s="388"/>
      <c r="AQ21" s="388"/>
      <c r="AR21" s="388"/>
      <c r="AS21" s="388"/>
      <c r="AT21" s="38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row>
    <row r="22" spans="1:76" ht="15" customHeight="1" x14ac:dyDescent="0.25">
      <c r="A22" s="49"/>
      <c r="B22" s="296"/>
      <c r="C22" s="296"/>
      <c r="D22" s="297"/>
      <c r="E22" s="397"/>
      <c r="F22" s="398"/>
      <c r="G22" s="398"/>
      <c r="H22" s="398"/>
      <c r="I22" s="396"/>
      <c r="J22" s="33" t="e">
        <f>IF(AND('MAPA CORRUPCION'!#REF!="Alta",'MAPA CORRUPCION'!#REF!="Leve"),CONCATENATE("R7C",'MAPA CORRUPCION'!#REF!),"")</f>
        <v>#REF!</v>
      </c>
      <c r="K22" s="34" t="e">
        <f>IF(AND('MAPA CORRUPCION'!#REF!="Alta",'MAPA CORRUPCION'!#REF!="Leve"),CONCATENATE("R7C",'MAPA CORRUPCION'!#REF!),"")</f>
        <v>#REF!</v>
      </c>
      <c r="L22" s="34" t="e">
        <f>IF(AND('MAPA CORRUPCION'!#REF!="Alta",'MAPA CORRUPCION'!#REF!="Leve"),CONCATENATE("R7C",'MAPA CORRUPCION'!#REF!),"")</f>
        <v>#REF!</v>
      </c>
      <c r="M22" s="34" t="e">
        <f>IF(AND('MAPA CORRUPCION'!#REF!="Alta",'MAPA CORRUPCION'!#REF!="Leve"),CONCATENATE("R7C",'MAPA CORRUPCION'!#REF!),"")</f>
        <v>#REF!</v>
      </c>
      <c r="N22" s="34" t="e">
        <f>IF(AND('MAPA CORRUPCION'!#REF!="Alta",'MAPA CORRUPCION'!#REF!="Leve"),CONCATENATE("R7C",'MAPA CORRUPCION'!#REF!),"")</f>
        <v>#REF!</v>
      </c>
      <c r="O22" s="35" t="e">
        <f>IF(AND('MAPA CORRUPCION'!#REF!="Alta",'MAPA CORRUPCION'!#REF!="Leve"),CONCATENATE("R7C",'MAPA CORRUPCION'!#REF!),"")</f>
        <v>#REF!</v>
      </c>
      <c r="P22" s="33" t="e">
        <f>IF(AND('MAPA CORRUPCION'!#REF!="Alta",'MAPA CORRUPCION'!#REF!="Menor"),CONCATENATE("R7C",'MAPA CORRUPCION'!#REF!),"")</f>
        <v>#REF!</v>
      </c>
      <c r="Q22" s="34" t="e">
        <f>IF(AND('MAPA CORRUPCION'!#REF!="Alta",'MAPA CORRUPCION'!#REF!="Menor"),CONCATENATE("R7C",'MAPA CORRUPCION'!#REF!),"")</f>
        <v>#REF!</v>
      </c>
      <c r="R22" s="34" t="e">
        <f>IF(AND('MAPA CORRUPCION'!#REF!="Alta",'MAPA CORRUPCION'!#REF!="Menor"),CONCATENATE("R7C",'MAPA CORRUPCION'!#REF!),"")</f>
        <v>#REF!</v>
      </c>
      <c r="S22" s="34" t="e">
        <f>IF(AND('MAPA CORRUPCION'!#REF!="Alta",'MAPA CORRUPCION'!#REF!="Menor"),CONCATENATE("R7C",'MAPA CORRUPCION'!#REF!),"")</f>
        <v>#REF!</v>
      </c>
      <c r="T22" s="34" t="e">
        <f>IF(AND('MAPA CORRUPCION'!#REF!="Alta",'MAPA CORRUPCION'!#REF!="Menor"),CONCATENATE("R7C",'MAPA CORRUPCION'!#REF!),"")</f>
        <v>#REF!</v>
      </c>
      <c r="U22" s="35" t="e">
        <f>IF(AND('MAPA CORRUPCION'!#REF!="Alta",'MAPA CORRUPCION'!#REF!="Menor"),CONCATENATE("R7C",'MAPA CORRUPCION'!#REF!),"")</f>
        <v>#REF!</v>
      </c>
      <c r="V22" s="17" t="e">
        <f>IF(AND('MAPA CORRUPCION'!#REF!="Alta",'MAPA CORRUPCION'!#REF!="Moderado"),CONCATENATE("R7C",'MAPA CORRUPCION'!#REF!),"")</f>
        <v>#REF!</v>
      </c>
      <c r="W22" s="18" t="e">
        <f>IF(AND('MAPA CORRUPCION'!#REF!="Alta",'MAPA CORRUPCION'!#REF!="Moderado"),CONCATENATE("R7C",'MAPA CORRUPCION'!#REF!),"")</f>
        <v>#REF!</v>
      </c>
      <c r="X22" s="23" t="e">
        <f>IF(AND('MAPA CORRUPCION'!#REF!="Alta",'MAPA CORRUPCION'!#REF!="Moderado"),CONCATENATE("R7C",'MAPA CORRUPCION'!#REF!),"")</f>
        <v>#REF!</v>
      </c>
      <c r="Y22" s="23" t="e">
        <f>IF(AND('MAPA CORRUPCION'!#REF!="Alta",'MAPA CORRUPCION'!#REF!="Moderado"),CONCATENATE("R7C",'MAPA CORRUPCION'!#REF!),"")</f>
        <v>#REF!</v>
      </c>
      <c r="Z22" s="23" t="e">
        <f>IF(AND('MAPA CORRUPCION'!#REF!="Alta",'MAPA CORRUPCION'!#REF!="Moderado"),CONCATENATE("R7C",'MAPA CORRUPCION'!#REF!),"")</f>
        <v>#REF!</v>
      </c>
      <c r="AA22" s="19" t="e">
        <f>IF(AND('MAPA CORRUPCION'!#REF!="Alta",'MAPA CORRUPCION'!#REF!="Moderado"),CONCATENATE("R7C",'MAPA CORRUPCION'!#REF!),"")</f>
        <v>#REF!</v>
      </c>
      <c r="AB22" s="17" t="e">
        <f>IF(AND('MAPA CORRUPCION'!#REF!="Alta",'MAPA CORRUPCION'!#REF!="Mayor"),CONCATENATE("R7C",'MAPA CORRUPCION'!#REF!),"")</f>
        <v>#REF!</v>
      </c>
      <c r="AC22" s="18" t="e">
        <f>IF(AND('MAPA CORRUPCION'!#REF!="Alta",'MAPA CORRUPCION'!#REF!="Mayor"),CONCATENATE("R7C",'MAPA CORRUPCION'!#REF!),"")</f>
        <v>#REF!</v>
      </c>
      <c r="AD22" s="23" t="e">
        <f>IF(AND('MAPA CORRUPCION'!#REF!="Alta",'MAPA CORRUPCION'!#REF!="Mayor"),CONCATENATE("R7C",'MAPA CORRUPCION'!#REF!),"")</f>
        <v>#REF!</v>
      </c>
      <c r="AE22" s="23" t="e">
        <f>IF(AND('MAPA CORRUPCION'!#REF!="Alta",'MAPA CORRUPCION'!#REF!="Mayor"),CONCATENATE("R7C",'MAPA CORRUPCION'!#REF!),"")</f>
        <v>#REF!</v>
      </c>
      <c r="AF22" s="23" t="e">
        <f>IF(AND('MAPA CORRUPCION'!#REF!="Alta",'MAPA CORRUPCION'!#REF!="Mayor"),CONCATENATE("R7C",'MAPA CORRUPCION'!#REF!),"")</f>
        <v>#REF!</v>
      </c>
      <c r="AG22" s="19" t="e">
        <f>IF(AND('MAPA CORRUPCION'!#REF!="Alta",'MAPA CORRUPCION'!#REF!="Mayor"),CONCATENATE("R7C",'MAPA CORRUPCION'!#REF!),"")</f>
        <v>#REF!</v>
      </c>
      <c r="AH22" s="20" t="e">
        <f>IF(AND('MAPA CORRUPCION'!#REF!="Alta",'MAPA CORRUPCION'!#REF!="Catastrófico"),CONCATENATE("R7C",'MAPA CORRUPCION'!#REF!),"")</f>
        <v>#REF!</v>
      </c>
      <c r="AI22" s="21" t="e">
        <f>IF(AND('MAPA CORRUPCION'!#REF!="Alta",'MAPA CORRUPCION'!#REF!="Catastrófico"),CONCATENATE("R7C",'MAPA CORRUPCION'!#REF!),"")</f>
        <v>#REF!</v>
      </c>
      <c r="AJ22" s="21" t="e">
        <f>IF(AND('MAPA CORRUPCION'!#REF!="Alta",'MAPA CORRUPCION'!#REF!="Catastrófico"),CONCATENATE("R7C",'MAPA CORRUPCION'!#REF!),"")</f>
        <v>#REF!</v>
      </c>
      <c r="AK22" s="21" t="e">
        <f>IF(AND('MAPA CORRUPCION'!#REF!="Alta",'MAPA CORRUPCION'!#REF!="Catastrófico"),CONCATENATE("R7C",'MAPA CORRUPCION'!#REF!),"")</f>
        <v>#REF!</v>
      </c>
      <c r="AL22" s="21" t="e">
        <f>IF(AND('MAPA CORRUPCION'!#REF!="Alta",'MAPA CORRUPCION'!#REF!="Catastrófico"),CONCATENATE("R7C",'MAPA CORRUPCION'!#REF!),"")</f>
        <v>#REF!</v>
      </c>
      <c r="AM22" s="22" t="e">
        <f>IF(AND('MAPA CORRUPCION'!#REF!="Alta",'MAPA CORRUPCION'!#REF!="Catastrófico"),CONCATENATE("R7C",'MAPA CORRUPCION'!#REF!),"")</f>
        <v>#REF!</v>
      </c>
      <c r="AN22" s="49"/>
      <c r="AO22" s="387"/>
      <c r="AP22" s="388"/>
      <c r="AQ22" s="388"/>
      <c r="AR22" s="388"/>
      <c r="AS22" s="388"/>
      <c r="AT22" s="38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row>
    <row r="23" spans="1:76" ht="15" customHeight="1" x14ac:dyDescent="0.25">
      <c r="A23" s="49"/>
      <c r="B23" s="296"/>
      <c r="C23" s="296"/>
      <c r="D23" s="297"/>
      <c r="E23" s="397"/>
      <c r="F23" s="398"/>
      <c r="G23" s="398"/>
      <c r="H23" s="398"/>
      <c r="I23" s="396"/>
      <c r="J23" s="33" t="e">
        <f>IF(AND('MAPA CORRUPCION'!#REF!="Alta",'MAPA CORRUPCION'!#REF!="Leve"),CONCATENATE("R8C",'MAPA CORRUPCION'!#REF!),"")</f>
        <v>#REF!</v>
      </c>
      <c r="K23" s="34" t="e">
        <f>IF(AND('MAPA CORRUPCION'!#REF!="Alta",'MAPA CORRUPCION'!#REF!="Leve"),CONCATENATE("R8C",'MAPA CORRUPCION'!#REF!),"")</f>
        <v>#REF!</v>
      </c>
      <c r="L23" s="34" t="e">
        <f>IF(AND('MAPA CORRUPCION'!#REF!="Alta",'MAPA CORRUPCION'!#REF!="Leve"),CONCATENATE("R8C",'MAPA CORRUPCION'!#REF!),"")</f>
        <v>#REF!</v>
      </c>
      <c r="M23" s="34" t="e">
        <f>IF(AND('MAPA CORRUPCION'!#REF!="Alta",'MAPA CORRUPCION'!#REF!="Leve"),CONCATENATE("R8C",'MAPA CORRUPCION'!#REF!),"")</f>
        <v>#REF!</v>
      </c>
      <c r="N23" s="34" t="e">
        <f>IF(AND('MAPA CORRUPCION'!#REF!="Alta",'MAPA CORRUPCION'!#REF!="Leve"),CONCATENATE("R8C",'MAPA CORRUPCION'!#REF!),"")</f>
        <v>#REF!</v>
      </c>
      <c r="O23" s="35" t="e">
        <f>IF(AND('MAPA CORRUPCION'!#REF!="Alta",'MAPA CORRUPCION'!#REF!="Leve"),CONCATENATE("R8C",'MAPA CORRUPCION'!#REF!),"")</f>
        <v>#REF!</v>
      </c>
      <c r="P23" s="33" t="e">
        <f>IF(AND('MAPA CORRUPCION'!#REF!="Alta",'MAPA CORRUPCION'!#REF!="Menor"),CONCATENATE("R8C",'MAPA CORRUPCION'!#REF!),"")</f>
        <v>#REF!</v>
      </c>
      <c r="Q23" s="34" t="e">
        <f>IF(AND('MAPA CORRUPCION'!#REF!="Alta",'MAPA CORRUPCION'!#REF!="Menor"),CONCATENATE("R8C",'MAPA CORRUPCION'!#REF!),"")</f>
        <v>#REF!</v>
      </c>
      <c r="R23" s="34" t="e">
        <f>IF(AND('MAPA CORRUPCION'!#REF!="Alta",'MAPA CORRUPCION'!#REF!="Menor"),CONCATENATE("R8C",'MAPA CORRUPCION'!#REF!),"")</f>
        <v>#REF!</v>
      </c>
      <c r="S23" s="34" t="e">
        <f>IF(AND('MAPA CORRUPCION'!#REF!="Alta",'MAPA CORRUPCION'!#REF!="Menor"),CONCATENATE("R8C",'MAPA CORRUPCION'!#REF!),"")</f>
        <v>#REF!</v>
      </c>
      <c r="T23" s="34" t="e">
        <f>IF(AND('MAPA CORRUPCION'!#REF!="Alta",'MAPA CORRUPCION'!#REF!="Menor"),CONCATENATE("R8C",'MAPA CORRUPCION'!#REF!),"")</f>
        <v>#REF!</v>
      </c>
      <c r="U23" s="35" t="e">
        <f>IF(AND('MAPA CORRUPCION'!#REF!="Alta",'MAPA CORRUPCION'!#REF!="Menor"),CONCATENATE("R8C",'MAPA CORRUPCION'!#REF!),"")</f>
        <v>#REF!</v>
      </c>
      <c r="V23" s="17" t="e">
        <f>IF(AND('MAPA CORRUPCION'!#REF!="Alta",'MAPA CORRUPCION'!#REF!="Moderado"),CONCATENATE("R8C",'MAPA CORRUPCION'!#REF!),"")</f>
        <v>#REF!</v>
      </c>
      <c r="W23" s="18" t="e">
        <f>IF(AND('MAPA CORRUPCION'!#REF!="Alta",'MAPA CORRUPCION'!#REF!="Moderado"),CONCATENATE("R8C",'MAPA CORRUPCION'!#REF!),"")</f>
        <v>#REF!</v>
      </c>
      <c r="X23" s="23" t="e">
        <f>IF(AND('MAPA CORRUPCION'!#REF!="Alta",'MAPA CORRUPCION'!#REF!="Moderado"),CONCATENATE("R8C",'MAPA CORRUPCION'!#REF!),"")</f>
        <v>#REF!</v>
      </c>
      <c r="Y23" s="23" t="e">
        <f>IF(AND('MAPA CORRUPCION'!#REF!="Alta",'MAPA CORRUPCION'!#REF!="Moderado"),CONCATENATE("R8C",'MAPA CORRUPCION'!#REF!),"")</f>
        <v>#REF!</v>
      </c>
      <c r="Z23" s="23" t="e">
        <f>IF(AND('MAPA CORRUPCION'!#REF!="Alta",'MAPA CORRUPCION'!#REF!="Moderado"),CONCATENATE("R8C",'MAPA CORRUPCION'!#REF!),"")</f>
        <v>#REF!</v>
      </c>
      <c r="AA23" s="19" t="e">
        <f>IF(AND('MAPA CORRUPCION'!#REF!="Alta",'MAPA CORRUPCION'!#REF!="Moderado"),CONCATENATE("R8C",'MAPA CORRUPCION'!#REF!),"")</f>
        <v>#REF!</v>
      </c>
      <c r="AB23" s="17" t="e">
        <f>IF(AND('MAPA CORRUPCION'!#REF!="Alta",'MAPA CORRUPCION'!#REF!="Mayor"),CONCATENATE("R8C",'MAPA CORRUPCION'!#REF!),"")</f>
        <v>#REF!</v>
      </c>
      <c r="AC23" s="18" t="e">
        <f>IF(AND('MAPA CORRUPCION'!#REF!="Alta",'MAPA CORRUPCION'!#REF!="Mayor"),CONCATENATE("R8C",'MAPA CORRUPCION'!#REF!),"")</f>
        <v>#REF!</v>
      </c>
      <c r="AD23" s="23" t="e">
        <f>IF(AND('MAPA CORRUPCION'!#REF!="Alta",'MAPA CORRUPCION'!#REF!="Mayor"),CONCATENATE("R8C",'MAPA CORRUPCION'!#REF!),"")</f>
        <v>#REF!</v>
      </c>
      <c r="AE23" s="23" t="e">
        <f>IF(AND('MAPA CORRUPCION'!#REF!="Alta",'MAPA CORRUPCION'!#REF!="Mayor"),CONCATENATE("R8C",'MAPA CORRUPCION'!#REF!),"")</f>
        <v>#REF!</v>
      </c>
      <c r="AF23" s="23" t="e">
        <f>IF(AND('MAPA CORRUPCION'!#REF!="Alta",'MAPA CORRUPCION'!#REF!="Mayor"),CONCATENATE("R8C",'MAPA CORRUPCION'!#REF!),"")</f>
        <v>#REF!</v>
      </c>
      <c r="AG23" s="19" t="e">
        <f>IF(AND('MAPA CORRUPCION'!#REF!="Alta",'MAPA CORRUPCION'!#REF!="Mayor"),CONCATENATE("R8C",'MAPA CORRUPCION'!#REF!),"")</f>
        <v>#REF!</v>
      </c>
      <c r="AH23" s="20" t="e">
        <f>IF(AND('MAPA CORRUPCION'!#REF!="Alta",'MAPA CORRUPCION'!#REF!="Catastrófico"),CONCATENATE("R8C",'MAPA CORRUPCION'!#REF!),"")</f>
        <v>#REF!</v>
      </c>
      <c r="AI23" s="21" t="e">
        <f>IF(AND('MAPA CORRUPCION'!#REF!="Alta",'MAPA CORRUPCION'!#REF!="Catastrófico"),CONCATENATE("R8C",'MAPA CORRUPCION'!#REF!),"")</f>
        <v>#REF!</v>
      </c>
      <c r="AJ23" s="21" t="e">
        <f>IF(AND('MAPA CORRUPCION'!#REF!="Alta",'MAPA CORRUPCION'!#REF!="Catastrófico"),CONCATENATE("R8C",'MAPA CORRUPCION'!#REF!),"")</f>
        <v>#REF!</v>
      </c>
      <c r="AK23" s="21" t="e">
        <f>IF(AND('MAPA CORRUPCION'!#REF!="Alta",'MAPA CORRUPCION'!#REF!="Catastrófico"),CONCATENATE("R8C",'MAPA CORRUPCION'!#REF!),"")</f>
        <v>#REF!</v>
      </c>
      <c r="AL23" s="21" t="e">
        <f>IF(AND('MAPA CORRUPCION'!#REF!="Alta",'MAPA CORRUPCION'!#REF!="Catastrófico"),CONCATENATE("R8C",'MAPA CORRUPCION'!#REF!),"")</f>
        <v>#REF!</v>
      </c>
      <c r="AM23" s="22" t="e">
        <f>IF(AND('MAPA CORRUPCION'!#REF!="Alta",'MAPA CORRUPCION'!#REF!="Catastrófico"),CONCATENATE("R8C",'MAPA CORRUPCION'!#REF!),"")</f>
        <v>#REF!</v>
      </c>
      <c r="AN23" s="49"/>
      <c r="AO23" s="387"/>
      <c r="AP23" s="388"/>
      <c r="AQ23" s="388"/>
      <c r="AR23" s="388"/>
      <c r="AS23" s="388"/>
      <c r="AT23" s="38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row>
    <row r="24" spans="1:76" ht="15" customHeight="1" x14ac:dyDescent="0.25">
      <c r="A24" s="49"/>
      <c r="B24" s="296"/>
      <c r="C24" s="296"/>
      <c r="D24" s="297"/>
      <c r="E24" s="397"/>
      <c r="F24" s="398"/>
      <c r="G24" s="398"/>
      <c r="H24" s="398"/>
      <c r="I24" s="396"/>
      <c r="J24" s="33" t="e">
        <f>IF(AND('MAPA CORRUPCION'!#REF!="Alta",'MAPA CORRUPCION'!#REF!="Leve"),CONCATENATE("R9C",'MAPA CORRUPCION'!#REF!),"")</f>
        <v>#REF!</v>
      </c>
      <c r="K24" s="34" t="e">
        <f>IF(AND('MAPA CORRUPCION'!#REF!="Alta",'MAPA CORRUPCION'!#REF!="Leve"),CONCATENATE("R9C",'MAPA CORRUPCION'!#REF!),"")</f>
        <v>#REF!</v>
      </c>
      <c r="L24" s="34" t="e">
        <f>IF(AND('MAPA CORRUPCION'!#REF!="Alta",'MAPA CORRUPCION'!#REF!="Leve"),CONCATENATE("R9C",'MAPA CORRUPCION'!#REF!),"")</f>
        <v>#REF!</v>
      </c>
      <c r="M24" s="34" t="e">
        <f>IF(AND('MAPA CORRUPCION'!#REF!="Alta",'MAPA CORRUPCION'!#REF!="Leve"),CONCATENATE("R9C",'MAPA CORRUPCION'!#REF!),"")</f>
        <v>#REF!</v>
      </c>
      <c r="N24" s="34" t="e">
        <f>IF(AND('MAPA CORRUPCION'!#REF!="Alta",'MAPA CORRUPCION'!#REF!="Leve"),CONCATENATE("R9C",'MAPA CORRUPCION'!#REF!),"")</f>
        <v>#REF!</v>
      </c>
      <c r="O24" s="35" t="e">
        <f>IF(AND('MAPA CORRUPCION'!#REF!="Alta",'MAPA CORRUPCION'!#REF!="Leve"),CONCATENATE("R9C",'MAPA CORRUPCION'!#REF!),"")</f>
        <v>#REF!</v>
      </c>
      <c r="P24" s="33" t="e">
        <f>IF(AND('MAPA CORRUPCION'!#REF!="Alta",'MAPA CORRUPCION'!#REF!="Menor"),CONCATENATE("R9C",'MAPA CORRUPCION'!#REF!),"")</f>
        <v>#REF!</v>
      </c>
      <c r="Q24" s="34" t="e">
        <f>IF(AND('MAPA CORRUPCION'!#REF!="Alta",'MAPA CORRUPCION'!#REF!="Menor"),CONCATENATE("R9C",'MAPA CORRUPCION'!#REF!),"")</f>
        <v>#REF!</v>
      </c>
      <c r="R24" s="34" t="e">
        <f>IF(AND('MAPA CORRUPCION'!#REF!="Alta",'MAPA CORRUPCION'!#REF!="Menor"),CONCATENATE("R9C",'MAPA CORRUPCION'!#REF!),"")</f>
        <v>#REF!</v>
      </c>
      <c r="S24" s="34" t="e">
        <f>IF(AND('MAPA CORRUPCION'!#REF!="Alta",'MAPA CORRUPCION'!#REF!="Menor"),CONCATENATE("R9C",'MAPA CORRUPCION'!#REF!),"")</f>
        <v>#REF!</v>
      </c>
      <c r="T24" s="34" t="e">
        <f>IF(AND('MAPA CORRUPCION'!#REF!="Alta",'MAPA CORRUPCION'!#REF!="Menor"),CONCATENATE("R9C",'MAPA CORRUPCION'!#REF!),"")</f>
        <v>#REF!</v>
      </c>
      <c r="U24" s="35" t="e">
        <f>IF(AND('MAPA CORRUPCION'!#REF!="Alta",'MAPA CORRUPCION'!#REF!="Menor"),CONCATENATE("R9C",'MAPA CORRUPCION'!#REF!),"")</f>
        <v>#REF!</v>
      </c>
      <c r="V24" s="17" t="e">
        <f>IF(AND('MAPA CORRUPCION'!#REF!="Alta",'MAPA CORRUPCION'!#REF!="Moderado"),CONCATENATE("R9C",'MAPA CORRUPCION'!#REF!),"")</f>
        <v>#REF!</v>
      </c>
      <c r="W24" s="18" t="e">
        <f>IF(AND('MAPA CORRUPCION'!#REF!="Alta",'MAPA CORRUPCION'!#REF!="Moderado"),CONCATENATE("R9C",'MAPA CORRUPCION'!#REF!),"")</f>
        <v>#REF!</v>
      </c>
      <c r="X24" s="23" t="e">
        <f>IF(AND('MAPA CORRUPCION'!#REF!="Alta",'MAPA CORRUPCION'!#REF!="Moderado"),CONCATENATE("R9C",'MAPA CORRUPCION'!#REF!),"")</f>
        <v>#REF!</v>
      </c>
      <c r="Y24" s="23" t="e">
        <f>IF(AND('MAPA CORRUPCION'!#REF!="Alta",'MAPA CORRUPCION'!#REF!="Moderado"),CONCATENATE("R9C",'MAPA CORRUPCION'!#REF!),"")</f>
        <v>#REF!</v>
      </c>
      <c r="Z24" s="23" t="e">
        <f>IF(AND('MAPA CORRUPCION'!#REF!="Alta",'MAPA CORRUPCION'!#REF!="Moderado"),CONCATENATE("R9C",'MAPA CORRUPCION'!#REF!),"")</f>
        <v>#REF!</v>
      </c>
      <c r="AA24" s="19" t="e">
        <f>IF(AND('MAPA CORRUPCION'!#REF!="Alta",'MAPA CORRUPCION'!#REF!="Moderado"),CONCATENATE("R9C",'MAPA CORRUPCION'!#REF!),"")</f>
        <v>#REF!</v>
      </c>
      <c r="AB24" s="17" t="e">
        <f>IF(AND('MAPA CORRUPCION'!#REF!="Alta",'MAPA CORRUPCION'!#REF!="Mayor"),CONCATENATE("R9C",'MAPA CORRUPCION'!#REF!),"")</f>
        <v>#REF!</v>
      </c>
      <c r="AC24" s="18" t="e">
        <f>IF(AND('MAPA CORRUPCION'!#REF!="Alta",'MAPA CORRUPCION'!#REF!="Mayor"),CONCATENATE("R9C",'MAPA CORRUPCION'!#REF!),"")</f>
        <v>#REF!</v>
      </c>
      <c r="AD24" s="23" t="e">
        <f>IF(AND('MAPA CORRUPCION'!#REF!="Alta",'MAPA CORRUPCION'!#REF!="Mayor"),CONCATENATE("R9C",'MAPA CORRUPCION'!#REF!),"")</f>
        <v>#REF!</v>
      </c>
      <c r="AE24" s="23" t="e">
        <f>IF(AND('MAPA CORRUPCION'!#REF!="Alta",'MAPA CORRUPCION'!#REF!="Mayor"),CONCATENATE("R9C",'MAPA CORRUPCION'!#REF!),"")</f>
        <v>#REF!</v>
      </c>
      <c r="AF24" s="23" t="e">
        <f>IF(AND('MAPA CORRUPCION'!#REF!="Alta",'MAPA CORRUPCION'!#REF!="Mayor"),CONCATENATE("R9C",'MAPA CORRUPCION'!#REF!),"")</f>
        <v>#REF!</v>
      </c>
      <c r="AG24" s="19" t="e">
        <f>IF(AND('MAPA CORRUPCION'!#REF!="Alta",'MAPA CORRUPCION'!#REF!="Mayor"),CONCATENATE("R9C",'MAPA CORRUPCION'!#REF!),"")</f>
        <v>#REF!</v>
      </c>
      <c r="AH24" s="20" t="e">
        <f>IF(AND('MAPA CORRUPCION'!#REF!="Alta",'MAPA CORRUPCION'!#REF!="Catastrófico"),CONCATENATE("R9C",'MAPA CORRUPCION'!#REF!),"")</f>
        <v>#REF!</v>
      </c>
      <c r="AI24" s="21" t="e">
        <f>IF(AND('MAPA CORRUPCION'!#REF!="Alta",'MAPA CORRUPCION'!#REF!="Catastrófico"),CONCATENATE("R9C",'MAPA CORRUPCION'!#REF!),"")</f>
        <v>#REF!</v>
      </c>
      <c r="AJ24" s="21" t="e">
        <f>IF(AND('MAPA CORRUPCION'!#REF!="Alta",'MAPA CORRUPCION'!#REF!="Catastrófico"),CONCATENATE("R9C",'MAPA CORRUPCION'!#REF!),"")</f>
        <v>#REF!</v>
      </c>
      <c r="AK24" s="21" t="e">
        <f>IF(AND('MAPA CORRUPCION'!#REF!="Alta",'MAPA CORRUPCION'!#REF!="Catastrófico"),CONCATENATE("R9C",'MAPA CORRUPCION'!#REF!),"")</f>
        <v>#REF!</v>
      </c>
      <c r="AL24" s="21" t="e">
        <f>IF(AND('MAPA CORRUPCION'!#REF!="Alta",'MAPA CORRUPCION'!#REF!="Catastrófico"),CONCATENATE("R9C",'MAPA CORRUPCION'!#REF!),"")</f>
        <v>#REF!</v>
      </c>
      <c r="AM24" s="22" t="e">
        <f>IF(AND('MAPA CORRUPCION'!#REF!="Alta",'MAPA CORRUPCION'!#REF!="Catastrófico"),CONCATENATE("R9C",'MAPA CORRUPCION'!#REF!),"")</f>
        <v>#REF!</v>
      </c>
      <c r="AN24" s="49"/>
      <c r="AO24" s="387"/>
      <c r="AP24" s="388"/>
      <c r="AQ24" s="388"/>
      <c r="AR24" s="388"/>
      <c r="AS24" s="388"/>
      <c r="AT24" s="38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row>
    <row r="25" spans="1:76" ht="15.75" customHeight="1" thickBot="1" x14ac:dyDescent="0.3">
      <c r="A25" s="49"/>
      <c r="B25" s="296"/>
      <c r="C25" s="296"/>
      <c r="D25" s="297"/>
      <c r="E25" s="399"/>
      <c r="F25" s="400"/>
      <c r="G25" s="400"/>
      <c r="H25" s="400"/>
      <c r="I25" s="400"/>
      <c r="J25" s="36" t="e">
        <f>IF(AND('MAPA CORRUPCION'!#REF!="Alta",'MAPA CORRUPCION'!#REF!="Leve"),CONCATENATE("R10C",'MAPA CORRUPCION'!#REF!),"")</f>
        <v>#REF!</v>
      </c>
      <c r="K25" s="37" t="e">
        <f>IF(AND('MAPA CORRUPCION'!#REF!="Alta",'MAPA CORRUPCION'!#REF!="Leve"),CONCATENATE("R10C",'MAPA CORRUPCION'!#REF!),"")</f>
        <v>#REF!</v>
      </c>
      <c r="L25" s="37" t="e">
        <f>IF(AND('MAPA CORRUPCION'!#REF!="Alta",'MAPA CORRUPCION'!#REF!="Leve"),CONCATENATE("R10C",'MAPA CORRUPCION'!#REF!),"")</f>
        <v>#REF!</v>
      </c>
      <c r="M25" s="37" t="e">
        <f>IF(AND('MAPA CORRUPCION'!#REF!="Alta",'MAPA CORRUPCION'!#REF!="Leve"),CONCATENATE("R10C",'MAPA CORRUPCION'!#REF!),"")</f>
        <v>#REF!</v>
      </c>
      <c r="N25" s="37" t="e">
        <f>IF(AND('MAPA CORRUPCION'!#REF!="Alta",'MAPA CORRUPCION'!#REF!="Leve"),CONCATENATE("R10C",'MAPA CORRUPCION'!#REF!),"")</f>
        <v>#REF!</v>
      </c>
      <c r="O25" s="38" t="e">
        <f>IF(AND('MAPA CORRUPCION'!#REF!="Alta",'MAPA CORRUPCION'!#REF!="Leve"),CONCATENATE("R10C",'MAPA CORRUPCION'!#REF!),"")</f>
        <v>#REF!</v>
      </c>
      <c r="P25" s="36" t="e">
        <f>IF(AND('MAPA CORRUPCION'!#REF!="Alta",'MAPA CORRUPCION'!#REF!="Menor"),CONCATENATE("R10C",'MAPA CORRUPCION'!#REF!),"")</f>
        <v>#REF!</v>
      </c>
      <c r="Q25" s="37" t="e">
        <f>IF(AND('MAPA CORRUPCION'!#REF!="Alta",'MAPA CORRUPCION'!#REF!="Menor"),CONCATENATE("R10C",'MAPA CORRUPCION'!#REF!),"")</f>
        <v>#REF!</v>
      </c>
      <c r="R25" s="37" t="e">
        <f>IF(AND('MAPA CORRUPCION'!#REF!="Alta",'MAPA CORRUPCION'!#REF!="Menor"),CONCATENATE("R10C",'MAPA CORRUPCION'!#REF!),"")</f>
        <v>#REF!</v>
      </c>
      <c r="S25" s="37" t="e">
        <f>IF(AND('MAPA CORRUPCION'!#REF!="Alta",'MAPA CORRUPCION'!#REF!="Menor"),CONCATENATE("R10C",'MAPA CORRUPCION'!#REF!),"")</f>
        <v>#REF!</v>
      </c>
      <c r="T25" s="37" t="e">
        <f>IF(AND('MAPA CORRUPCION'!#REF!="Alta",'MAPA CORRUPCION'!#REF!="Menor"),CONCATENATE("R10C",'MAPA CORRUPCION'!#REF!),"")</f>
        <v>#REF!</v>
      </c>
      <c r="U25" s="38" t="e">
        <f>IF(AND('MAPA CORRUPCION'!#REF!="Alta",'MAPA CORRUPCION'!#REF!="Menor"),CONCATENATE("R10C",'MAPA CORRUPCION'!#REF!),"")</f>
        <v>#REF!</v>
      </c>
      <c r="V25" s="24" t="e">
        <f>IF(AND('MAPA CORRUPCION'!#REF!="Alta",'MAPA CORRUPCION'!#REF!="Moderado"),CONCATENATE("R10C",'MAPA CORRUPCION'!#REF!),"")</f>
        <v>#REF!</v>
      </c>
      <c r="W25" s="25" t="e">
        <f>IF(AND('MAPA CORRUPCION'!#REF!="Alta",'MAPA CORRUPCION'!#REF!="Moderado"),CONCATENATE("R10C",'MAPA CORRUPCION'!#REF!),"")</f>
        <v>#REF!</v>
      </c>
      <c r="X25" s="25" t="e">
        <f>IF(AND('MAPA CORRUPCION'!#REF!="Alta",'MAPA CORRUPCION'!#REF!="Moderado"),CONCATENATE("R10C",'MAPA CORRUPCION'!#REF!),"")</f>
        <v>#REF!</v>
      </c>
      <c r="Y25" s="25" t="e">
        <f>IF(AND('MAPA CORRUPCION'!#REF!="Alta",'MAPA CORRUPCION'!#REF!="Moderado"),CONCATENATE("R10C",'MAPA CORRUPCION'!#REF!),"")</f>
        <v>#REF!</v>
      </c>
      <c r="Z25" s="25" t="e">
        <f>IF(AND('MAPA CORRUPCION'!#REF!="Alta",'MAPA CORRUPCION'!#REF!="Moderado"),CONCATENATE("R10C",'MAPA CORRUPCION'!#REF!),"")</f>
        <v>#REF!</v>
      </c>
      <c r="AA25" s="26" t="e">
        <f>IF(AND('MAPA CORRUPCION'!#REF!="Alta",'MAPA CORRUPCION'!#REF!="Moderado"),CONCATENATE("R10C",'MAPA CORRUPCION'!#REF!),"")</f>
        <v>#REF!</v>
      </c>
      <c r="AB25" s="24" t="e">
        <f>IF(AND('MAPA CORRUPCION'!#REF!="Alta",'MAPA CORRUPCION'!#REF!="Mayor"),CONCATENATE("R10C",'MAPA CORRUPCION'!#REF!),"")</f>
        <v>#REF!</v>
      </c>
      <c r="AC25" s="25" t="e">
        <f>IF(AND('MAPA CORRUPCION'!#REF!="Alta",'MAPA CORRUPCION'!#REF!="Mayor"),CONCATENATE("R10C",'MAPA CORRUPCION'!#REF!),"")</f>
        <v>#REF!</v>
      </c>
      <c r="AD25" s="25" t="e">
        <f>IF(AND('MAPA CORRUPCION'!#REF!="Alta",'MAPA CORRUPCION'!#REF!="Mayor"),CONCATENATE("R10C",'MAPA CORRUPCION'!#REF!),"")</f>
        <v>#REF!</v>
      </c>
      <c r="AE25" s="25" t="e">
        <f>IF(AND('MAPA CORRUPCION'!#REF!="Alta",'MAPA CORRUPCION'!#REF!="Mayor"),CONCATENATE("R10C",'MAPA CORRUPCION'!#REF!),"")</f>
        <v>#REF!</v>
      </c>
      <c r="AF25" s="25" t="e">
        <f>IF(AND('MAPA CORRUPCION'!#REF!="Alta",'MAPA CORRUPCION'!#REF!="Mayor"),CONCATENATE("R10C",'MAPA CORRUPCION'!#REF!),"")</f>
        <v>#REF!</v>
      </c>
      <c r="AG25" s="26" t="e">
        <f>IF(AND('MAPA CORRUPCION'!#REF!="Alta",'MAPA CORRUPCION'!#REF!="Mayor"),CONCATENATE("R10C",'MAPA CORRUPCION'!#REF!),"")</f>
        <v>#REF!</v>
      </c>
      <c r="AH25" s="27" t="e">
        <f>IF(AND('MAPA CORRUPCION'!#REF!="Alta",'MAPA CORRUPCION'!#REF!="Catastrófico"),CONCATENATE("R10C",'MAPA CORRUPCION'!#REF!),"")</f>
        <v>#REF!</v>
      </c>
      <c r="AI25" s="28" t="e">
        <f>IF(AND('MAPA CORRUPCION'!#REF!="Alta",'MAPA CORRUPCION'!#REF!="Catastrófico"),CONCATENATE("R10C",'MAPA CORRUPCION'!#REF!),"")</f>
        <v>#REF!</v>
      </c>
      <c r="AJ25" s="28" t="e">
        <f>IF(AND('MAPA CORRUPCION'!#REF!="Alta",'MAPA CORRUPCION'!#REF!="Catastrófico"),CONCATENATE("R10C",'MAPA CORRUPCION'!#REF!),"")</f>
        <v>#REF!</v>
      </c>
      <c r="AK25" s="28" t="e">
        <f>IF(AND('MAPA CORRUPCION'!#REF!="Alta",'MAPA CORRUPCION'!#REF!="Catastrófico"),CONCATENATE("R10C",'MAPA CORRUPCION'!#REF!),"")</f>
        <v>#REF!</v>
      </c>
      <c r="AL25" s="28" t="e">
        <f>IF(AND('MAPA CORRUPCION'!#REF!="Alta",'MAPA CORRUPCION'!#REF!="Catastrófico"),CONCATENATE("R10C",'MAPA CORRUPCION'!#REF!),"")</f>
        <v>#REF!</v>
      </c>
      <c r="AM25" s="29" t="e">
        <f>IF(AND('MAPA CORRUPCION'!#REF!="Alta",'MAPA CORRUPCION'!#REF!="Catastrófico"),CONCATENATE("R10C",'MAPA CORRUPCION'!#REF!),"")</f>
        <v>#REF!</v>
      </c>
      <c r="AN25" s="49"/>
      <c r="AO25" s="390"/>
      <c r="AP25" s="391"/>
      <c r="AQ25" s="391"/>
      <c r="AR25" s="391"/>
      <c r="AS25" s="391"/>
      <c r="AT25" s="392"/>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row>
    <row r="26" spans="1:76" ht="15" customHeight="1" x14ac:dyDescent="0.25">
      <c r="A26" s="49"/>
      <c r="B26" s="296"/>
      <c r="C26" s="296"/>
      <c r="D26" s="297"/>
      <c r="E26" s="393" t="s">
        <v>102</v>
      </c>
      <c r="F26" s="394"/>
      <c r="G26" s="394"/>
      <c r="H26" s="394"/>
      <c r="I26" s="412"/>
      <c r="J26" s="30" t="str">
        <f>IF(AND('MAPA CORRUPCION'!$AB$5="Media",'MAPA CORRUPCION'!$AD$5="Leve"),CONCATENATE("R1C",'MAPA CORRUPCION'!$R$5),"")</f>
        <v/>
      </c>
      <c r="K26" s="31" t="e">
        <f>IF(AND('MAPA CORRUPCION'!#REF!="Media",'MAPA CORRUPCION'!#REF!="Leve"),CONCATENATE("R1C",'MAPA CORRUPCION'!#REF!),"")</f>
        <v>#REF!</v>
      </c>
      <c r="L26" s="31" t="e">
        <f>IF(AND('MAPA CORRUPCION'!#REF!="Media",'MAPA CORRUPCION'!#REF!="Leve"),CONCATENATE("R1C",'MAPA CORRUPCION'!#REF!),"")</f>
        <v>#REF!</v>
      </c>
      <c r="M26" s="31" t="e">
        <f>IF(AND('MAPA CORRUPCION'!#REF!="Media",'MAPA CORRUPCION'!#REF!="Leve"),CONCATENATE("R1C",'MAPA CORRUPCION'!#REF!),"")</f>
        <v>#REF!</v>
      </c>
      <c r="N26" s="31" t="e">
        <f>IF(AND('MAPA CORRUPCION'!#REF!="Media",'MAPA CORRUPCION'!#REF!="Leve"),CONCATENATE("R1C",'MAPA CORRUPCION'!#REF!),"")</f>
        <v>#REF!</v>
      </c>
      <c r="O26" s="32" t="e">
        <f>IF(AND('MAPA CORRUPCION'!#REF!="Media",'MAPA CORRUPCION'!#REF!="Leve"),CONCATENATE("R1C",'MAPA CORRUPCION'!#REF!),"")</f>
        <v>#REF!</v>
      </c>
      <c r="P26" s="30" t="str">
        <f>IF(AND('MAPA CORRUPCION'!$AB$5="Media",'MAPA CORRUPCION'!$AD$5="Menor"),CONCATENATE("R1C",'MAPA CORRUPCION'!$R$5),"")</f>
        <v/>
      </c>
      <c r="Q26" s="31" t="e">
        <f>IF(AND('MAPA CORRUPCION'!#REF!="Media",'MAPA CORRUPCION'!#REF!="Menor"),CONCATENATE("R1C",'MAPA CORRUPCION'!#REF!),"")</f>
        <v>#REF!</v>
      </c>
      <c r="R26" s="31" t="e">
        <f>IF(AND('MAPA CORRUPCION'!#REF!="Media",'MAPA CORRUPCION'!#REF!="Menor"),CONCATENATE("R1C",'MAPA CORRUPCION'!#REF!),"")</f>
        <v>#REF!</v>
      </c>
      <c r="S26" s="31" t="e">
        <f>IF(AND('MAPA CORRUPCION'!#REF!="Media",'MAPA CORRUPCION'!#REF!="Menor"),CONCATENATE("R1C",'MAPA CORRUPCION'!#REF!),"")</f>
        <v>#REF!</v>
      </c>
      <c r="T26" s="31" t="e">
        <f>IF(AND('MAPA CORRUPCION'!#REF!="Media",'MAPA CORRUPCION'!#REF!="Menor"),CONCATENATE("R1C",'MAPA CORRUPCION'!#REF!),"")</f>
        <v>#REF!</v>
      </c>
      <c r="U26" s="32" t="e">
        <f>IF(AND('MAPA CORRUPCION'!#REF!="Media",'MAPA CORRUPCION'!#REF!="Menor"),CONCATENATE("R1C",'MAPA CORRUPCION'!#REF!),"")</f>
        <v>#REF!</v>
      </c>
      <c r="V26" s="30" t="str">
        <f>IF(AND('MAPA CORRUPCION'!$AB$5="Media",'MAPA CORRUPCION'!$AD$5="Moderado"),CONCATENATE("R1C",'MAPA CORRUPCION'!$R$5),"")</f>
        <v/>
      </c>
      <c r="W26" s="31" t="e">
        <f>IF(AND('MAPA CORRUPCION'!#REF!="Media",'MAPA CORRUPCION'!#REF!="Moderado"),CONCATENATE("R1C",'MAPA CORRUPCION'!#REF!),"")</f>
        <v>#REF!</v>
      </c>
      <c r="X26" s="31" t="e">
        <f>IF(AND('MAPA CORRUPCION'!#REF!="Media",'MAPA CORRUPCION'!#REF!="Moderado"),CONCATENATE("R1C",'MAPA CORRUPCION'!#REF!),"")</f>
        <v>#REF!</v>
      </c>
      <c r="Y26" s="31" t="e">
        <f>IF(AND('MAPA CORRUPCION'!#REF!="Media",'MAPA CORRUPCION'!#REF!="Moderado"),CONCATENATE("R1C",'MAPA CORRUPCION'!#REF!),"")</f>
        <v>#REF!</v>
      </c>
      <c r="Z26" s="31" t="e">
        <f>IF(AND('MAPA CORRUPCION'!#REF!="Media",'MAPA CORRUPCION'!#REF!="Moderado"),CONCATENATE("R1C",'MAPA CORRUPCION'!#REF!),"")</f>
        <v>#REF!</v>
      </c>
      <c r="AA26" s="32" t="e">
        <f>IF(AND('MAPA CORRUPCION'!#REF!="Media",'MAPA CORRUPCION'!#REF!="Moderado"),CONCATENATE("R1C",'MAPA CORRUPCION'!#REF!),"")</f>
        <v>#REF!</v>
      </c>
      <c r="AB26" s="11" t="str">
        <f>IF(AND('MAPA CORRUPCION'!$AB$5="Media",'MAPA CORRUPCION'!$AD$5="Mayor"),CONCATENATE("R1C",'MAPA CORRUPCION'!$R$5),"")</f>
        <v/>
      </c>
      <c r="AC26" s="12" t="e">
        <f>IF(AND('MAPA CORRUPCION'!#REF!="Media",'MAPA CORRUPCION'!#REF!="Mayor"),CONCATENATE("R1C",'MAPA CORRUPCION'!#REF!),"")</f>
        <v>#REF!</v>
      </c>
      <c r="AD26" s="12" t="e">
        <f>IF(AND('MAPA CORRUPCION'!#REF!="Media",'MAPA CORRUPCION'!#REF!="Mayor"),CONCATENATE("R1C",'MAPA CORRUPCION'!#REF!),"")</f>
        <v>#REF!</v>
      </c>
      <c r="AE26" s="12" t="e">
        <f>IF(AND('MAPA CORRUPCION'!#REF!="Media",'MAPA CORRUPCION'!#REF!="Mayor"),CONCATENATE("R1C",'MAPA CORRUPCION'!#REF!),"")</f>
        <v>#REF!</v>
      </c>
      <c r="AF26" s="12" t="e">
        <f>IF(AND('MAPA CORRUPCION'!#REF!="Media",'MAPA CORRUPCION'!#REF!="Mayor"),CONCATENATE("R1C",'MAPA CORRUPCION'!#REF!),"")</f>
        <v>#REF!</v>
      </c>
      <c r="AG26" s="13" t="e">
        <f>IF(AND('MAPA CORRUPCION'!#REF!="Media",'MAPA CORRUPCION'!#REF!="Mayor"),CONCATENATE("R1C",'MAPA CORRUPCION'!#REF!),"")</f>
        <v>#REF!</v>
      </c>
      <c r="AH26" s="14" t="str">
        <f>IF(AND('MAPA CORRUPCION'!$AB$5="Media",'MAPA CORRUPCION'!$AD$5="Catastrófico"),CONCATENATE("R1C",'MAPA CORRUPCION'!$R$5),"")</f>
        <v/>
      </c>
      <c r="AI26" s="15" t="e">
        <f>IF(AND('MAPA CORRUPCION'!#REF!="Media",'MAPA CORRUPCION'!#REF!="Catastrófico"),CONCATENATE("R1C",'MAPA CORRUPCION'!#REF!),"")</f>
        <v>#REF!</v>
      </c>
      <c r="AJ26" s="15" t="e">
        <f>IF(AND('MAPA CORRUPCION'!#REF!="Media",'MAPA CORRUPCION'!#REF!="Catastrófico"),CONCATENATE("R1C",'MAPA CORRUPCION'!#REF!),"")</f>
        <v>#REF!</v>
      </c>
      <c r="AK26" s="15" t="e">
        <f>IF(AND('MAPA CORRUPCION'!#REF!="Media",'MAPA CORRUPCION'!#REF!="Catastrófico"),CONCATENATE("R1C",'MAPA CORRUPCION'!#REF!),"")</f>
        <v>#REF!</v>
      </c>
      <c r="AL26" s="15" t="e">
        <f>IF(AND('MAPA CORRUPCION'!#REF!="Media",'MAPA CORRUPCION'!#REF!="Catastrófico"),CONCATENATE("R1C",'MAPA CORRUPCION'!#REF!),"")</f>
        <v>#REF!</v>
      </c>
      <c r="AM26" s="16" t="e">
        <f>IF(AND('MAPA CORRUPCION'!#REF!="Media",'MAPA CORRUPCION'!#REF!="Catastrófico"),CONCATENATE("R1C",'MAPA CORRUPCION'!#REF!),"")</f>
        <v>#REF!</v>
      </c>
      <c r="AN26" s="49"/>
      <c r="AO26" s="424" t="s">
        <v>70</v>
      </c>
      <c r="AP26" s="425"/>
      <c r="AQ26" s="425"/>
      <c r="AR26" s="425"/>
      <c r="AS26" s="425"/>
      <c r="AT26" s="426"/>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row>
    <row r="27" spans="1:76" ht="15" customHeight="1" x14ac:dyDescent="0.25">
      <c r="A27" s="49"/>
      <c r="B27" s="296"/>
      <c r="C27" s="296"/>
      <c r="D27" s="297"/>
      <c r="E27" s="395"/>
      <c r="F27" s="396"/>
      <c r="G27" s="396"/>
      <c r="H27" s="396"/>
      <c r="I27" s="413"/>
      <c r="J27" s="33" t="str">
        <f>IF(AND('MAPA CORRUPCION'!$AB$6="Media",'MAPA CORRUPCION'!$AD$6="Leve"),CONCATENATE("R2C",'MAPA CORRUPCION'!$R$6),"")</f>
        <v/>
      </c>
      <c r="K27" s="34" t="str">
        <f>IF(AND('MAPA CORRUPCION'!$AB$7="Media",'MAPA CORRUPCION'!$AD$7="Leve"),CONCATENATE("R2C",'MAPA CORRUPCION'!$R$7),"")</f>
        <v/>
      </c>
      <c r="L27" s="34" t="str">
        <f>IF(AND('MAPA CORRUPCION'!$AB$8="Media",'MAPA CORRUPCION'!$AD$8="Leve"),CONCATENATE("R2C",'MAPA CORRUPCION'!$R$8),"")</f>
        <v/>
      </c>
      <c r="M27" s="34" t="str">
        <f>IF(AND('MAPA CORRUPCION'!$AB$9="Media",'MAPA CORRUPCION'!$AD$9="Leve"),CONCATENATE("R2C",'MAPA CORRUPCION'!$R$9),"")</f>
        <v/>
      </c>
      <c r="N27" s="34" t="e">
        <f>IF(AND('MAPA CORRUPCION'!#REF!="Media",'MAPA CORRUPCION'!#REF!="Leve"),CONCATENATE("R2C",'MAPA CORRUPCION'!#REF!),"")</f>
        <v>#REF!</v>
      </c>
      <c r="O27" s="35" t="e">
        <f>IF(AND('MAPA CORRUPCION'!#REF!="Media",'MAPA CORRUPCION'!#REF!="Leve"),CONCATENATE("R2C",'MAPA CORRUPCION'!#REF!),"")</f>
        <v>#REF!</v>
      </c>
      <c r="P27" s="33" t="str">
        <f>IF(AND('MAPA CORRUPCION'!$AB$6="Media",'MAPA CORRUPCION'!$AD$6="Menor"),CONCATENATE("R2C",'MAPA CORRUPCION'!$R$6),"")</f>
        <v/>
      </c>
      <c r="Q27" s="34" t="str">
        <f>IF(AND('MAPA CORRUPCION'!$AB$7="Media",'MAPA CORRUPCION'!$AD$7="Menor"),CONCATENATE("R2C",'MAPA CORRUPCION'!$R$7),"")</f>
        <v/>
      </c>
      <c r="R27" s="34" t="str">
        <f>IF(AND('MAPA CORRUPCION'!$AB$8="Media",'MAPA CORRUPCION'!$AD$8="Menor"),CONCATENATE("R2C",'MAPA CORRUPCION'!$R$8),"")</f>
        <v/>
      </c>
      <c r="S27" s="34" t="str">
        <f>IF(AND('MAPA CORRUPCION'!$AB$9="Media",'MAPA CORRUPCION'!$AD$9="Menor"),CONCATENATE("R2C",'MAPA CORRUPCION'!$R$9),"")</f>
        <v/>
      </c>
      <c r="T27" s="34" t="e">
        <f>IF(AND('MAPA CORRUPCION'!#REF!="Media",'MAPA CORRUPCION'!#REF!="Menor"),CONCATENATE("R2C",'MAPA CORRUPCION'!#REF!),"")</f>
        <v>#REF!</v>
      </c>
      <c r="U27" s="35" t="e">
        <f>IF(AND('MAPA CORRUPCION'!#REF!="Media",'MAPA CORRUPCION'!#REF!="Menor"),CONCATENATE("R2C",'MAPA CORRUPCION'!#REF!),"")</f>
        <v>#REF!</v>
      </c>
      <c r="V27" s="33" t="str">
        <f>IF(AND('MAPA CORRUPCION'!$AB$6="Media",'MAPA CORRUPCION'!$AD$6="Moderado"),CONCATENATE("R2C",'MAPA CORRUPCION'!$R$6),"")</f>
        <v/>
      </c>
      <c r="W27" s="34" t="str">
        <f>IF(AND('MAPA CORRUPCION'!$AB$7="Media",'MAPA CORRUPCION'!$AD$7="Moderado"),CONCATENATE("R2C",'MAPA CORRUPCION'!$R$7),"")</f>
        <v/>
      </c>
      <c r="X27" s="34" t="str">
        <f>IF(AND('MAPA CORRUPCION'!$AB$8="Media",'MAPA CORRUPCION'!$AD$8="Moderado"),CONCATENATE("R2C",'MAPA CORRUPCION'!$R$8),"")</f>
        <v/>
      </c>
      <c r="Y27" s="34" t="str">
        <f>IF(AND('MAPA CORRUPCION'!$AB$9="Media",'MAPA CORRUPCION'!$AD$9="Moderado"),CONCATENATE("R2C",'MAPA CORRUPCION'!$R$9),"")</f>
        <v/>
      </c>
      <c r="Z27" s="34" t="e">
        <f>IF(AND('MAPA CORRUPCION'!#REF!="Media",'MAPA CORRUPCION'!#REF!="Moderado"),CONCATENATE("R2C",'MAPA CORRUPCION'!#REF!),"")</f>
        <v>#REF!</v>
      </c>
      <c r="AA27" s="35" t="e">
        <f>IF(AND('MAPA CORRUPCION'!#REF!="Media",'MAPA CORRUPCION'!#REF!="Moderado"),CONCATENATE("R2C",'MAPA CORRUPCION'!#REF!),"")</f>
        <v>#REF!</v>
      </c>
      <c r="AB27" s="17" t="str">
        <f>IF(AND('MAPA CORRUPCION'!$AB$6="Media",'MAPA CORRUPCION'!$AD$6="Mayor"),CONCATENATE("R2C",'MAPA CORRUPCION'!$R$6),"")</f>
        <v/>
      </c>
      <c r="AC27" s="18" t="str">
        <f>IF(AND('MAPA CORRUPCION'!$AB$7="Media",'MAPA CORRUPCION'!$AD$7="Mayor"),CONCATENATE("R2C",'MAPA CORRUPCION'!$R$7),"")</f>
        <v/>
      </c>
      <c r="AD27" s="18" t="str">
        <f>IF(AND('MAPA CORRUPCION'!$AB$8="Media",'MAPA CORRUPCION'!$AD$8="Mayor"),CONCATENATE("R2C",'MAPA CORRUPCION'!$R$8),"")</f>
        <v/>
      </c>
      <c r="AE27" s="18" t="str">
        <f>IF(AND('MAPA CORRUPCION'!$AB$9="Media",'MAPA CORRUPCION'!$AD$9="Mayor"),CONCATENATE("R2C",'MAPA CORRUPCION'!$R$9),"")</f>
        <v/>
      </c>
      <c r="AF27" s="18" t="e">
        <f>IF(AND('MAPA CORRUPCION'!#REF!="Media",'MAPA CORRUPCION'!#REF!="Mayor"),CONCATENATE("R2C",'MAPA CORRUPCION'!#REF!),"")</f>
        <v>#REF!</v>
      </c>
      <c r="AG27" s="19" t="e">
        <f>IF(AND('MAPA CORRUPCION'!#REF!="Media",'MAPA CORRUPCION'!#REF!="Mayor"),CONCATENATE("R2C",'MAPA CORRUPCION'!#REF!),"")</f>
        <v>#REF!</v>
      </c>
      <c r="AH27" s="20" t="str">
        <f>IF(AND('MAPA CORRUPCION'!$AB$6="Media",'MAPA CORRUPCION'!$AD$6="Catastrófico"),CONCATENATE("R2C",'MAPA CORRUPCION'!$R$6),"")</f>
        <v/>
      </c>
      <c r="AI27" s="21" t="str">
        <f>IF(AND('MAPA CORRUPCION'!$AB$7="Media",'MAPA CORRUPCION'!$AD$7="Catastrófico"),CONCATENATE("R2C",'MAPA CORRUPCION'!$R$7),"")</f>
        <v/>
      </c>
      <c r="AJ27" s="21" t="str">
        <f>IF(AND('MAPA CORRUPCION'!$AB$8="Media",'MAPA CORRUPCION'!$AD$8="Catastrófico"),CONCATENATE("R2C",'MAPA CORRUPCION'!$R$8),"")</f>
        <v/>
      </c>
      <c r="AK27" s="21" t="str">
        <f>IF(AND('MAPA CORRUPCION'!$AB$9="Media",'MAPA CORRUPCION'!$AD$9="Catastrófico"),CONCATENATE("R2C",'MAPA CORRUPCION'!$R$9),"")</f>
        <v/>
      </c>
      <c r="AL27" s="21" t="e">
        <f>IF(AND('MAPA CORRUPCION'!#REF!="Media",'MAPA CORRUPCION'!#REF!="Catastrófico"),CONCATENATE("R2C",'MAPA CORRUPCION'!#REF!),"")</f>
        <v>#REF!</v>
      </c>
      <c r="AM27" s="22" t="e">
        <f>IF(AND('MAPA CORRUPCION'!#REF!="Media",'MAPA CORRUPCION'!#REF!="Catastrófico"),CONCATENATE("R2C",'MAPA CORRUPCION'!#REF!),"")</f>
        <v>#REF!</v>
      </c>
      <c r="AN27" s="49"/>
      <c r="AO27" s="427"/>
      <c r="AP27" s="428"/>
      <c r="AQ27" s="428"/>
      <c r="AR27" s="428"/>
      <c r="AS27" s="428"/>
      <c r="AT27" s="42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row>
    <row r="28" spans="1:76" ht="15" customHeight="1" x14ac:dyDescent="0.25">
      <c r="A28" s="49"/>
      <c r="B28" s="296"/>
      <c r="C28" s="296"/>
      <c r="D28" s="297"/>
      <c r="E28" s="397"/>
      <c r="F28" s="398"/>
      <c r="G28" s="398"/>
      <c r="H28" s="398"/>
      <c r="I28" s="413"/>
      <c r="J28" s="33" t="str">
        <f>IF(AND('MAPA CORRUPCION'!$AB$10="Media",'MAPA CORRUPCION'!$AD$10="Leve"),CONCATENATE("R3C",'MAPA CORRUPCION'!$R$10),"")</f>
        <v/>
      </c>
      <c r="K28" s="34" t="str">
        <f>IF(AND('MAPA CORRUPCION'!$AB$11="Media",'MAPA CORRUPCION'!$AD$11="Leve"),CONCATENATE("R3C",'MAPA CORRUPCION'!$R$11),"")</f>
        <v/>
      </c>
      <c r="L28" s="34" t="str">
        <f>IF(AND('MAPA CORRUPCION'!$AB$12="Media",'MAPA CORRUPCION'!$AD$12="Leve"),CONCATENATE("R3C",'MAPA CORRUPCION'!$R$12),"")</f>
        <v/>
      </c>
      <c r="M28" s="34" t="str">
        <f ca="1">IF(AND('MAPA CORRUPCION'!$AB$13="Media",'MAPA CORRUPCION'!$AD$13="Leve"),CONCATENATE("R3C",'MAPA CORRUPCION'!$R$13),"")</f>
        <v/>
      </c>
      <c r="N28" s="34" t="str">
        <f>IF(AND('MAPA CORRUPCION'!$AB$14="Media",'MAPA CORRUPCION'!$AD$14="Leve"),CONCATENATE("R3C",'MAPA CORRUPCION'!$R$14),"")</f>
        <v/>
      </c>
      <c r="O28" s="35" t="str">
        <f>IF(AND('MAPA CORRUPCION'!$AB$15="Media",'MAPA CORRUPCION'!$AD$15="Leve"),CONCATENATE("R3C",'MAPA CORRUPCION'!$R$15),"")</f>
        <v/>
      </c>
      <c r="P28" s="33" t="str">
        <f>IF(AND('MAPA CORRUPCION'!$AB$10="Media",'MAPA CORRUPCION'!$AD$10="Menor"),CONCATENATE("R3C",'MAPA CORRUPCION'!$R$10),"")</f>
        <v/>
      </c>
      <c r="Q28" s="34" t="str">
        <f>IF(AND('MAPA CORRUPCION'!$AB$11="Media",'MAPA CORRUPCION'!$AD$11="Menor"),CONCATENATE("R3C",'MAPA CORRUPCION'!$R$11),"")</f>
        <v/>
      </c>
      <c r="R28" s="34" t="str">
        <f>IF(AND('MAPA CORRUPCION'!$AB$12="Media",'MAPA CORRUPCION'!$AD$12="Menor"),CONCATENATE("R3C",'MAPA CORRUPCION'!$R$12),"")</f>
        <v/>
      </c>
      <c r="S28" s="34" t="str">
        <f ca="1">IF(AND('MAPA CORRUPCION'!$AB$13="Media",'MAPA CORRUPCION'!$AD$13="Menor"),CONCATENATE("R3C",'MAPA CORRUPCION'!$R$13),"")</f>
        <v/>
      </c>
      <c r="T28" s="34" t="str">
        <f>IF(AND('MAPA CORRUPCION'!$AB$14="Media",'MAPA CORRUPCION'!$AD$14="Menor"),CONCATENATE("R3C",'MAPA CORRUPCION'!$R$14),"")</f>
        <v/>
      </c>
      <c r="U28" s="35" t="str">
        <f>IF(AND('MAPA CORRUPCION'!$AB$15="Media",'MAPA CORRUPCION'!$AD$15="Menor"),CONCATENATE("R3C",'MAPA CORRUPCION'!$R$15),"")</f>
        <v/>
      </c>
      <c r="V28" s="33" t="str">
        <f>IF(AND('MAPA CORRUPCION'!$AB$10="Media",'MAPA CORRUPCION'!$AD$10="Moderado"),CONCATENATE("R3C",'MAPA CORRUPCION'!$R$10),"")</f>
        <v/>
      </c>
      <c r="W28" s="34" t="str">
        <f>IF(AND('MAPA CORRUPCION'!$AB$11="Media",'MAPA CORRUPCION'!$AD$11="Moderado"),CONCATENATE("R3C",'MAPA CORRUPCION'!$R$11),"")</f>
        <v/>
      </c>
      <c r="X28" s="34" t="str">
        <f>IF(AND('MAPA CORRUPCION'!$AB$12="Media",'MAPA CORRUPCION'!$AD$12="Moderado"),CONCATENATE("R3C",'MAPA CORRUPCION'!$R$12),"")</f>
        <v/>
      </c>
      <c r="Y28" s="34" t="str">
        <f ca="1">IF(AND('MAPA CORRUPCION'!$AB$13="Media",'MAPA CORRUPCION'!$AD$13="Moderado"),CONCATENATE("R3C",'MAPA CORRUPCION'!$R$13),"")</f>
        <v/>
      </c>
      <c r="Z28" s="34" t="str">
        <f>IF(AND('MAPA CORRUPCION'!$AB$14="Media",'MAPA CORRUPCION'!$AD$14="Moderado"),CONCATENATE("R3C",'MAPA CORRUPCION'!$R$14),"")</f>
        <v/>
      </c>
      <c r="AA28" s="35" t="str">
        <f>IF(AND('MAPA CORRUPCION'!$AB$15="Media",'MAPA CORRUPCION'!$AD$15="Moderado"),CONCATENATE("R3C",'MAPA CORRUPCION'!$R$15),"")</f>
        <v/>
      </c>
      <c r="AB28" s="17" t="str">
        <f>IF(AND('MAPA CORRUPCION'!$AB$10="Media",'MAPA CORRUPCION'!$AD$10="Mayor"),CONCATENATE("R3C",'MAPA CORRUPCION'!$R$10),"")</f>
        <v/>
      </c>
      <c r="AC28" s="18" t="str">
        <f>IF(AND('MAPA CORRUPCION'!$AB$11="Media",'MAPA CORRUPCION'!$AD$11="Mayor"),CONCATENATE("R3C",'MAPA CORRUPCION'!$R$11),"")</f>
        <v/>
      </c>
      <c r="AD28" s="18" t="str">
        <f>IF(AND('MAPA CORRUPCION'!$AB$12="Media",'MAPA CORRUPCION'!$AD$12="Mayor"),CONCATENATE("R3C",'MAPA CORRUPCION'!$R$12),"")</f>
        <v/>
      </c>
      <c r="AE28" s="18" t="str">
        <f ca="1">IF(AND('MAPA CORRUPCION'!$AB$13="Media",'MAPA CORRUPCION'!$AD$13="Mayor"),CONCATENATE("R3C",'MAPA CORRUPCION'!$R$13),"")</f>
        <v/>
      </c>
      <c r="AF28" s="18" t="str">
        <f>IF(AND('MAPA CORRUPCION'!$AB$14="Media",'MAPA CORRUPCION'!$AD$14="Mayor"),CONCATENATE("R3C",'MAPA CORRUPCION'!$R$14),"")</f>
        <v/>
      </c>
      <c r="AG28" s="19" t="str">
        <f>IF(AND('MAPA CORRUPCION'!$AB$15="Media",'MAPA CORRUPCION'!$AD$15="Mayor"),CONCATENATE("R3C",'MAPA CORRUPCION'!$R$15),"")</f>
        <v/>
      </c>
      <c r="AH28" s="20" t="str">
        <f>IF(AND('MAPA CORRUPCION'!$AB$10="Media",'MAPA CORRUPCION'!$AD$10="Catastrófico"),CONCATENATE("R3C",'MAPA CORRUPCION'!$R$10),"")</f>
        <v/>
      </c>
      <c r="AI28" s="21" t="str">
        <f>IF(AND('MAPA CORRUPCION'!$AB$11="Media",'MAPA CORRUPCION'!$AD$11="Catastrófico"),CONCATENATE("R3C",'MAPA CORRUPCION'!$R$11),"")</f>
        <v/>
      </c>
      <c r="AJ28" s="21" t="str">
        <f>IF(AND('MAPA CORRUPCION'!$AB$12="Media",'MAPA CORRUPCION'!$AD$12="Catastrófico"),CONCATENATE("R3C",'MAPA CORRUPCION'!$R$12),"")</f>
        <v/>
      </c>
      <c r="AK28" s="21" t="str">
        <f ca="1">IF(AND('MAPA CORRUPCION'!$AB$13="Media",'MAPA CORRUPCION'!$AD$13="Catastrófico"),CONCATENATE("R3C",'MAPA CORRUPCION'!$R$13),"")</f>
        <v/>
      </c>
      <c r="AL28" s="21" t="str">
        <f>IF(AND('MAPA CORRUPCION'!$AB$14="Media",'MAPA CORRUPCION'!$AD$14="Catastrófico"),CONCATENATE("R3C",'MAPA CORRUPCION'!$R$14),"")</f>
        <v/>
      </c>
      <c r="AM28" s="22" t="str">
        <f>IF(AND('MAPA CORRUPCION'!$AB$15="Media",'MAPA CORRUPCION'!$AD$15="Catastrófico"),CONCATENATE("R3C",'MAPA CORRUPCION'!$R$15),"")</f>
        <v/>
      </c>
      <c r="AN28" s="49"/>
      <c r="AO28" s="427"/>
      <c r="AP28" s="428"/>
      <c r="AQ28" s="428"/>
      <c r="AR28" s="428"/>
      <c r="AS28" s="428"/>
      <c r="AT28" s="42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row>
    <row r="29" spans="1:76" ht="15" customHeight="1" x14ac:dyDescent="0.25">
      <c r="A29" s="49"/>
      <c r="B29" s="296"/>
      <c r="C29" s="296"/>
      <c r="D29" s="297"/>
      <c r="E29" s="397"/>
      <c r="F29" s="398"/>
      <c r="G29" s="398"/>
      <c r="H29" s="398"/>
      <c r="I29" s="413"/>
      <c r="J29" s="33" t="str">
        <f>IF(AND('MAPA CORRUPCION'!$AB$16="Media",'MAPA CORRUPCION'!$AD$16="Leve"),CONCATENATE("R4C",'MAPA CORRUPCION'!$R$16),"")</f>
        <v/>
      </c>
      <c r="K29" s="34" t="str">
        <f>IF(AND('MAPA CORRUPCION'!$AB$17="Media",'MAPA CORRUPCION'!$AD$17="Leve"),CONCATENATE("R4C",'MAPA CORRUPCION'!$R$17),"")</f>
        <v/>
      </c>
      <c r="L29" s="34" t="e">
        <f>IF(AND('MAPA CORRUPCION'!#REF!="Media",'MAPA CORRUPCION'!#REF!="Leve"),CONCATENATE("R4C",'MAPA CORRUPCION'!#REF!),"")</f>
        <v>#REF!</v>
      </c>
      <c r="M29" s="34" t="e">
        <f>IF(AND('MAPA CORRUPCION'!#REF!="Media",'MAPA CORRUPCION'!#REF!="Leve"),CONCATENATE("R4C",'MAPA CORRUPCION'!#REF!),"")</f>
        <v>#REF!</v>
      </c>
      <c r="N29" s="34" t="e">
        <f>IF(AND('MAPA CORRUPCION'!#REF!="Media",'MAPA CORRUPCION'!#REF!="Leve"),CONCATENATE("R4C",'MAPA CORRUPCION'!#REF!),"")</f>
        <v>#REF!</v>
      </c>
      <c r="O29" s="35" t="e">
        <f>IF(AND('MAPA CORRUPCION'!#REF!="Media",'MAPA CORRUPCION'!#REF!="Leve"),CONCATENATE("R4C",'MAPA CORRUPCION'!#REF!),"")</f>
        <v>#REF!</v>
      </c>
      <c r="P29" s="33" t="str">
        <f>IF(AND('MAPA CORRUPCION'!$AB$16="Media",'MAPA CORRUPCION'!$AD$16="Menor"),CONCATENATE("R4C",'MAPA CORRUPCION'!$R$16),"")</f>
        <v/>
      </c>
      <c r="Q29" s="34" t="str">
        <f>IF(AND('MAPA CORRUPCION'!$AB$17="Media",'MAPA CORRUPCION'!$AD$17="Menor"),CONCATENATE("R4C",'MAPA CORRUPCION'!$R$17),"")</f>
        <v/>
      </c>
      <c r="R29" s="34" t="e">
        <f>IF(AND('MAPA CORRUPCION'!#REF!="Media",'MAPA CORRUPCION'!#REF!="Menor"),CONCATENATE("R4C",'MAPA CORRUPCION'!#REF!),"")</f>
        <v>#REF!</v>
      </c>
      <c r="S29" s="34" t="e">
        <f>IF(AND('MAPA CORRUPCION'!#REF!="Media",'MAPA CORRUPCION'!#REF!="Menor"),CONCATENATE("R4C",'MAPA CORRUPCION'!#REF!),"")</f>
        <v>#REF!</v>
      </c>
      <c r="T29" s="34" t="e">
        <f>IF(AND('MAPA CORRUPCION'!#REF!="Media",'MAPA CORRUPCION'!#REF!="Menor"),CONCATENATE("R4C",'MAPA CORRUPCION'!#REF!),"")</f>
        <v>#REF!</v>
      </c>
      <c r="U29" s="35" t="e">
        <f>IF(AND('MAPA CORRUPCION'!#REF!="Media",'MAPA CORRUPCION'!#REF!="Menor"),CONCATENATE("R4C",'MAPA CORRUPCION'!#REF!),"")</f>
        <v>#REF!</v>
      </c>
      <c r="V29" s="33" t="str">
        <f>IF(AND('MAPA CORRUPCION'!$AB$16="Media",'MAPA CORRUPCION'!$AD$16="Moderado"),CONCATENATE("R4C",'MAPA CORRUPCION'!$R$16),"")</f>
        <v/>
      </c>
      <c r="W29" s="34" t="str">
        <f>IF(AND('MAPA CORRUPCION'!$AB$17="Media",'MAPA CORRUPCION'!$AD$17="Moderado"),CONCATENATE("R4C",'MAPA CORRUPCION'!$R$17),"")</f>
        <v/>
      </c>
      <c r="X29" s="34" t="e">
        <f>IF(AND('MAPA CORRUPCION'!#REF!="Media",'MAPA CORRUPCION'!#REF!="Moderado"),CONCATENATE("R4C",'MAPA CORRUPCION'!#REF!),"")</f>
        <v>#REF!</v>
      </c>
      <c r="Y29" s="34" t="e">
        <f>IF(AND('MAPA CORRUPCION'!#REF!="Media",'MAPA CORRUPCION'!#REF!="Moderado"),CONCATENATE("R4C",'MAPA CORRUPCION'!#REF!),"")</f>
        <v>#REF!</v>
      </c>
      <c r="Z29" s="34" t="e">
        <f>IF(AND('MAPA CORRUPCION'!#REF!="Media",'MAPA CORRUPCION'!#REF!="Moderado"),CONCATENATE("R4C",'MAPA CORRUPCION'!#REF!),"")</f>
        <v>#REF!</v>
      </c>
      <c r="AA29" s="35" t="e">
        <f>IF(AND('MAPA CORRUPCION'!#REF!="Media",'MAPA CORRUPCION'!#REF!="Moderado"),CONCATENATE("R4C",'MAPA CORRUPCION'!#REF!),"")</f>
        <v>#REF!</v>
      </c>
      <c r="AB29" s="17" t="str">
        <f>IF(AND('MAPA CORRUPCION'!$AB$16="Media",'MAPA CORRUPCION'!$AD$16="Mayor"),CONCATENATE("R4C",'MAPA CORRUPCION'!$R$16),"")</f>
        <v/>
      </c>
      <c r="AC29" s="18" t="str">
        <f>IF(AND('MAPA CORRUPCION'!$AB$17="Media",'MAPA CORRUPCION'!$AD$17="Mayor"),CONCATENATE("R4C",'MAPA CORRUPCION'!$R$17),"")</f>
        <v/>
      </c>
      <c r="AD29" s="23" t="e">
        <f>IF(AND('MAPA CORRUPCION'!#REF!="Media",'MAPA CORRUPCION'!#REF!="Mayor"),CONCATENATE("R4C",'MAPA CORRUPCION'!#REF!),"")</f>
        <v>#REF!</v>
      </c>
      <c r="AE29" s="23" t="e">
        <f>IF(AND('MAPA CORRUPCION'!#REF!="Media",'MAPA CORRUPCION'!#REF!="Mayor"),CONCATENATE("R4C",'MAPA CORRUPCION'!#REF!),"")</f>
        <v>#REF!</v>
      </c>
      <c r="AF29" s="23" t="e">
        <f>IF(AND('MAPA CORRUPCION'!#REF!="Media",'MAPA CORRUPCION'!#REF!="Mayor"),CONCATENATE("R4C",'MAPA CORRUPCION'!#REF!),"")</f>
        <v>#REF!</v>
      </c>
      <c r="AG29" s="19" t="e">
        <f>IF(AND('MAPA CORRUPCION'!#REF!="Media",'MAPA CORRUPCION'!#REF!="Mayor"),CONCATENATE("R4C",'MAPA CORRUPCION'!#REF!),"")</f>
        <v>#REF!</v>
      </c>
      <c r="AH29" s="20" t="str">
        <f>IF(AND('MAPA CORRUPCION'!$AB$16="Media",'MAPA CORRUPCION'!$AD$16="Catastrófico"),CONCATENATE("R4C",'MAPA CORRUPCION'!$R$16),"")</f>
        <v/>
      </c>
      <c r="AI29" s="21" t="str">
        <f>IF(AND('MAPA CORRUPCION'!$AB$17="Media",'MAPA CORRUPCION'!$AD$17="Catastrófico"),CONCATENATE("R4C",'MAPA CORRUPCION'!$R$17),"")</f>
        <v/>
      </c>
      <c r="AJ29" s="21" t="e">
        <f>IF(AND('MAPA CORRUPCION'!#REF!="Media",'MAPA CORRUPCION'!#REF!="Catastrófico"),CONCATENATE("R4C",'MAPA CORRUPCION'!#REF!),"")</f>
        <v>#REF!</v>
      </c>
      <c r="AK29" s="21" t="e">
        <f>IF(AND('MAPA CORRUPCION'!#REF!="Media",'MAPA CORRUPCION'!#REF!="Catastrófico"),CONCATENATE("R4C",'MAPA CORRUPCION'!#REF!),"")</f>
        <v>#REF!</v>
      </c>
      <c r="AL29" s="21" t="e">
        <f>IF(AND('MAPA CORRUPCION'!#REF!="Media",'MAPA CORRUPCION'!#REF!="Catastrófico"),CONCATENATE("R4C",'MAPA CORRUPCION'!#REF!),"")</f>
        <v>#REF!</v>
      </c>
      <c r="AM29" s="22" t="e">
        <f>IF(AND('MAPA CORRUPCION'!#REF!="Media",'MAPA CORRUPCION'!#REF!="Catastrófico"),CONCATENATE("R4C",'MAPA CORRUPCION'!#REF!),"")</f>
        <v>#REF!</v>
      </c>
      <c r="AN29" s="49"/>
      <c r="AO29" s="427"/>
      <c r="AP29" s="428"/>
      <c r="AQ29" s="428"/>
      <c r="AR29" s="428"/>
      <c r="AS29" s="428"/>
      <c r="AT29" s="42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row>
    <row r="30" spans="1:76" ht="15" customHeight="1" x14ac:dyDescent="0.25">
      <c r="A30" s="49"/>
      <c r="B30" s="296"/>
      <c r="C30" s="296"/>
      <c r="D30" s="297"/>
      <c r="E30" s="397"/>
      <c r="F30" s="398"/>
      <c r="G30" s="398"/>
      <c r="H30" s="398"/>
      <c r="I30" s="413"/>
      <c r="J30" s="33" t="str">
        <f ca="1">IF(AND('MAPA CORRUPCION'!$AB$18="Media",'MAPA CORRUPCION'!$AD$18="Leve"),CONCATENATE("R5C",'MAPA CORRUPCION'!$R$18),"")</f>
        <v/>
      </c>
      <c r="K30" s="34" t="e">
        <f>IF(AND('MAPA CORRUPCION'!#REF!="Media",'MAPA CORRUPCION'!#REF!="Leve"),CONCATENATE("R5C",'MAPA CORRUPCION'!#REF!),"")</f>
        <v>#REF!</v>
      </c>
      <c r="L30" s="34" t="e">
        <f>IF(AND('MAPA CORRUPCION'!#REF!="Media",'MAPA CORRUPCION'!#REF!="Leve"),CONCATENATE("R5C",'MAPA CORRUPCION'!#REF!),"")</f>
        <v>#REF!</v>
      </c>
      <c r="M30" s="34" t="e">
        <f>IF(AND('MAPA CORRUPCION'!#REF!="Media",'MAPA CORRUPCION'!#REF!="Leve"),CONCATENATE("R5C",'MAPA CORRUPCION'!#REF!),"")</f>
        <v>#REF!</v>
      </c>
      <c r="N30" s="34" t="e">
        <f>IF(AND('MAPA CORRUPCION'!#REF!="Media",'MAPA CORRUPCION'!#REF!="Leve"),CONCATENATE("R5C",'MAPA CORRUPCION'!#REF!),"")</f>
        <v>#REF!</v>
      </c>
      <c r="O30" s="35" t="e">
        <f>IF(AND('MAPA CORRUPCION'!#REF!="Media",'MAPA CORRUPCION'!#REF!="Leve"),CONCATENATE("R5C",'MAPA CORRUPCION'!#REF!),"")</f>
        <v>#REF!</v>
      </c>
      <c r="P30" s="33" t="str">
        <f ca="1">IF(AND('MAPA CORRUPCION'!$AB$18="Media",'MAPA CORRUPCION'!$AD$18="Menor"),CONCATENATE("R5C",'MAPA CORRUPCION'!$R$18),"")</f>
        <v/>
      </c>
      <c r="Q30" s="34" t="e">
        <f>IF(AND('MAPA CORRUPCION'!#REF!="Media",'MAPA CORRUPCION'!#REF!="Menor"),CONCATENATE("R5C",'MAPA CORRUPCION'!#REF!),"")</f>
        <v>#REF!</v>
      </c>
      <c r="R30" s="34" t="e">
        <f>IF(AND('MAPA CORRUPCION'!#REF!="Media",'MAPA CORRUPCION'!#REF!="Menor"),CONCATENATE("R5C",'MAPA CORRUPCION'!#REF!),"")</f>
        <v>#REF!</v>
      </c>
      <c r="S30" s="34" t="e">
        <f>IF(AND('MAPA CORRUPCION'!#REF!="Media",'MAPA CORRUPCION'!#REF!="Menor"),CONCATENATE("R5C",'MAPA CORRUPCION'!#REF!),"")</f>
        <v>#REF!</v>
      </c>
      <c r="T30" s="34" t="e">
        <f>IF(AND('MAPA CORRUPCION'!#REF!="Media",'MAPA CORRUPCION'!#REF!="Menor"),CONCATENATE("R5C",'MAPA CORRUPCION'!#REF!),"")</f>
        <v>#REF!</v>
      </c>
      <c r="U30" s="35" t="e">
        <f>IF(AND('MAPA CORRUPCION'!#REF!="Media",'MAPA CORRUPCION'!#REF!="Menor"),CONCATENATE("R5C",'MAPA CORRUPCION'!#REF!),"")</f>
        <v>#REF!</v>
      </c>
      <c r="V30" s="33" t="str">
        <f ca="1">IF(AND('MAPA CORRUPCION'!$AB$18="Media",'MAPA CORRUPCION'!$AD$18="Moderado"),CONCATENATE("R5C",'MAPA CORRUPCION'!$R$18),"")</f>
        <v/>
      </c>
      <c r="W30" s="34" t="e">
        <f>IF(AND('MAPA CORRUPCION'!#REF!="Media",'MAPA CORRUPCION'!#REF!="Moderado"),CONCATENATE("R5C",'MAPA CORRUPCION'!#REF!),"")</f>
        <v>#REF!</v>
      </c>
      <c r="X30" s="34" t="e">
        <f>IF(AND('MAPA CORRUPCION'!#REF!="Media",'MAPA CORRUPCION'!#REF!="Moderado"),CONCATENATE("R5C",'MAPA CORRUPCION'!#REF!),"")</f>
        <v>#REF!</v>
      </c>
      <c r="Y30" s="34" t="e">
        <f>IF(AND('MAPA CORRUPCION'!#REF!="Media",'MAPA CORRUPCION'!#REF!="Moderado"),CONCATENATE("R5C",'MAPA CORRUPCION'!#REF!),"")</f>
        <v>#REF!</v>
      </c>
      <c r="Z30" s="34" t="e">
        <f>IF(AND('MAPA CORRUPCION'!#REF!="Media",'MAPA CORRUPCION'!#REF!="Moderado"),CONCATENATE("R5C",'MAPA CORRUPCION'!#REF!),"")</f>
        <v>#REF!</v>
      </c>
      <c r="AA30" s="35" t="e">
        <f>IF(AND('MAPA CORRUPCION'!#REF!="Media",'MAPA CORRUPCION'!#REF!="Moderado"),CONCATENATE("R5C",'MAPA CORRUPCION'!#REF!),"")</f>
        <v>#REF!</v>
      </c>
      <c r="AB30" s="17" t="str">
        <f ca="1">IF(AND('MAPA CORRUPCION'!$AB$18="Media",'MAPA CORRUPCION'!$AD$18="Mayor"),CONCATENATE("R5C",'MAPA CORRUPCION'!$R$18),"")</f>
        <v/>
      </c>
      <c r="AC30" s="18" t="e">
        <f>IF(AND('MAPA CORRUPCION'!#REF!="Media",'MAPA CORRUPCION'!#REF!="Mayor"),CONCATENATE("R5C",'MAPA CORRUPCION'!#REF!),"")</f>
        <v>#REF!</v>
      </c>
      <c r="AD30" s="23" t="e">
        <f>IF(AND('MAPA CORRUPCION'!#REF!="Media",'MAPA CORRUPCION'!#REF!="Mayor"),CONCATENATE("R5C",'MAPA CORRUPCION'!#REF!),"")</f>
        <v>#REF!</v>
      </c>
      <c r="AE30" s="23" t="e">
        <f>IF(AND('MAPA CORRUPCION'!#REF!="Media",'MAPA CORRUPCION'!#REF!="Mayor"),CONCATENATE("R5C",'MAPA CORRUPCION'!#REF!),"")</f>
        <v>#REF!</v>
      </c>
      <c r="AF30" s="23" t="e">
        <f>IF(AND('MAPA CORRUPCION'!#REF!="Media",'MAPA CORRUPCION'!#REF!="Mayor"),CONCATENATE("R5C",'MAPA CORRUPCION'!#REF!),"")</f>
        <v>#REF!</v>
      </c>
      <c r="AG30" s="19" t="e">
        <f>IF(AND('MAPA CORRUPCION'!#REF!="Media",'MAPA CORRUPCION'!#REF!="Mayor"),CONCATENATE("R5C",'MAPA CORRUPCION'!#REF!),"")</f>
        <v>#REF!</v>
      </c>
      <c r="AH30" s="20" t="str">
        <f ca="1">IF(AND('MAPA CORRUPCION'!$AB$18="Media",'MAPA CORRUPCION'!$AD$18="Catastrófico"),CONCATENATE("R5C",'MAPA CORRUPCION'!$R$18),"")</f>
        <v/>
      </c>
      <c r="AI30" s="21" t="e">
        <f>IF(AND('MAPA CORRUPCION'!#REF!="Media",'MAPA CORRUPCION'!#REF!="Catastrófico"),CONCATENATE("R5C",'MAPA CORRUPCION'!#REF!),"")</f>
        <v>#REF!</v>
      </c>
      <c r="AJ30" s="21" t="e">
        <f>IF(AND('MAPA CORRUPCION'!#REF!="Media",'MAPA CORRUPCION'!#REF!="Catastrófico"),CONCATENATE("R5C",'MAPA CORRUPCION'!#REF!),"")</f>
        <v>#REF!</v>
      </c>
      <c r="AK30" s="21" t="e">
        <f>IF(AND('MAPA CORRUPCION'!#REF!="Media",'MAPA CORRUPCION'!#REF!="Catastrófico"),CONCATENATE("R5C",'MAPA CORRUPCION'!#REF!),"")</f>
        <v>#REF!</v>
      </c>
      <c r="AL30" s="21" t="e">
        <f>IF(AND('MAPA CORRUPCION'!#REF!="Media",'MAPA CORRUPCION'!#REF!="Catastrófico"),CONCATENATE("R5C",'MAPA CORRUPCION'!#REF!),"")</f>
        <v>#REF!</v>
      </c>
      <c r="AM30" s="22" t="e">
        <f>IF(AND('MAPA CORRUPCION'!#REF!="Media",'MAPA CORRUPCION'!#REF!="Catastrófico"),CONCATENATE("R5C",'MAPA CORRUPCION'!#REF!),"")</f>
        <v>#REF!</v>
      </c>
      <c r="AN30" s="49"/>
      <c r="AO30" s="427"/>
      <c r="AP30" s="428"/>
      <c r="AQ30" s="428"/>
      <c r="AR30" s="428"/>
      <c r="AS30" s="428"/>
      <c r="AT30" s="42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row>
    <row r="31" spans="1:76" ht="15" customHeight="1" x14ac:dyDescent="0.25">
      <c r="A31" s="49"/>
      <c r="B31" s="296"/>
      <c r="C31" s="296"/>
      <c r="D31" s="297"/>
      <c r="E31" s="397"/>
      <c r="F31" s="398"/>
      <c r="G31" s="398"/>
      <c r="H31" s="398"/>
      <c r="I31" s="413"/>
      <c r="J31" s="33" t="e">
        <f>IF(AND('MAPA CORRUPCION'!#REF!="Media",'MAPA CORRUPCION'!#REF!="Leve"),CONCATENATE("R6C",'MAPA CORRUPCION'!#REF!),"")</f>
        <v>#REF!</v>
      </c>
      <c r="K31" s="34" t="e">
        <f>IF(AND('MAPA CORRUPCION'!#REF!="Media",'MAPA CORRUPCION'!#REF!="Leve"),CONCATENATE("R6C",'MAPA CORRUPCION'!#REF!),"")</f>
        <v>#REF!</v>
      </c>
      <c r="L31" s="34" t="e">
        <f>IF(AND('MAPA CORRUPCION'!#REF!="Media",'MAPA CORRUPCION'!#REF!="Leve"),CONCATENATE("R6C",'MAPA CORRUPCION'!#REF!),"")</f>
        <v>#REF!</v>
      </c>
      <c r="M31" s="34" t="e">
        <f>IF(AND('MAPA CORRUPCION'!#REF!="Media",'MAPA CORRUPCION'!#REF!="Leve"),CONCATENATE("R6C",'MAPA CORRUPCION'!#REF!),"")</f>
        <v>#REF!</v>
      </c>
      <c r="N31" s="34" t="e">
        <f>IF(AND('MAPA CORRUPCION'!#REF!="Media",'MAPA CORRUPCION'!#REF!="Leve"),CONCATENATE("R6C",'MAPA CORRUPCION'!#REF!),"")</f>
        <v>#REF!</v>
      </c>
      <c r="O31" s="35" t="e">
        <f>IF(AND('MAPA CORRUPCION'!#REF!="Media",'MAPA CORRUPCION'!#REF!="Leve"),CONCATENATE("R6C",'MAPA CORRUPCION'!#REF!),"")</f>
        <v>#REF!</v>
      </c>
      <c r="P31" s="33" t="e">
        <f>IF(AND('MAPA CORRUPCION'!#REF!="Media",'MAPA CORRUPCION'!#REF!="Menor"),CONCATENATE("R6C",'MAPA CORRUPCION'!#REF!),"")</f>
        <v>#REF!</v>
      </c>
      <c r="Q31" s="34" t="e">
        <f>IF(AND('MAPA CORRUPCION'!#REF!="Media",'MAPA CORRUPCION'!#REF!="Menor"),CONCATENATE("R6C",'MAPA CORRUPCION'!#REF!),"")</f>
        <v>#REF!</v>
      </c>
      <c r="R31" s="34" t="e">
        <f>IF(AND('MAPA CORRUPCION'!#REF!="Media",'MAPA CORRUPCION'!#REF!="Menor"),CONCATENATE("R6C",'MAPA CORRUPCION'!#REF!),"")</f>
        <v>#REF!</v>
      </c>
      <c r="S31" s="34" t="e">
        <f>IF(AND('MAPA CORRUPCION'!#REF!="Media",'MAPA CORRUPCION'!#REF!="Menor"),CONCATENATE("R6C",'MAPA CORRUPCION'!#REF!),"")</f>
        <v>#REF!</v>
      </c>
      <c r="T31" s="34" t="e">
        <f>IF(AND('MAPA CORRUPCION'!#REF!="Media",'MAPA CORRUPCION'!#REF!="Menor"),CONCATENATE("R6C",'MAPA CORRUPCION'!#REF!),"")</f>
        <v>#REF!</v>
      </c>
      <c r="U31" s="35" t="e">
        <f>IF(AND('MAPA CORRUPCION'!#REF!="Media",'MAPA CORRUPCION'!#REF!="Menor"),CONCATENATE("R6C",'MAPA CORRUPCION'!#REF!),"")</f>
        <v>#REF!</v>
      </c>
      <c r="V31" s="33" t="e">
        <f>IF(AND('MAPA CORRUPCION'!#REF!="Media",'MAPA CORRUPCION'!#REF!="Moderado"),CONCATENATE("R6C",'MAPA CORRUPCION'!#REF!),"")</f>
        <v>#REF!</v>
      </c>
      <c r="W31" s="34" t="e">
        <f>IF(AND('MAPA CORRUPCION'!#REF!="Media",'MAPA CORRUPCION'!#REF!="Moderado"),CONCATENATE("R6C",'MAPA CORRUPCION'!#REF!),"")</f>
        <v>#REF!</v>
      </c>
      <c r="X31" s="34" t="e">
        <f>IF(AND('MAPA CORRUPCION'!#REF!="Media",'MAPA CORRUPCION'!#REF!="Moderado"),CONCATENATE("R6C",'MAPA CORRUPCION'!#REF!),"")</f>
        <v>#REF!</v>
      </c>
      <c r="Y31" s="34" t="e">
        <f>IF(AND('MAPA CORRUPCION'!#REF!="Media",'MAPA CORRUPCION'!#REF!="Moderado"),CONCATENATE("R6C",'MAPA CORRUPCION'!#REF!),"")</f>
        <v>#REF!</v>
      </c>
      <c r="Z31" s="34" t="e">
        <f>IF(AND('MAPA CORRUPCION'!#REF!="Media",'MAPA CORRUPCION'!#REF!="Moderado"),CONCATENATE("R6C",'MAPA CORRUPCION'!#REF!),"")</f>
        <v>#REF!</v>
      </c>
      <c r="AA31" s="35" t="e">
        <f>IF(AND('MAPA CORRUPCION'!#REF!="Media",'MAPA CORRUPCION'!#REF!="Moderado"),CONCATENATE("R6C",'MAPA CORRUPCION'!#REF!),"")</f>
        <v>#REF!</v>
      </c>
      <c r="AB31" s="17" t="e">
        <f>IF(AND('MAPA CORRUPCION'!#REF!="Media",'MAPA CORRUPCION'!#REF!="Mayor"),CONCATENATE("R6C",'MAPA CORRUPCION'!#REF!),"")</f>
        <v>#REF!</v>
      </c>
      <c r="AC31" s="18" t="e">
        <f>IF(AND('MAPA CORRUPCION'!#REF!="Media",'MAPA CORRUPCION'!#REF!="Mayor"),CONCATENATE("R6C",'MAPA CORRUPCION'!#REF!),"")</f>
        <v>#REF!</v>
      </c>
      <c r="AD31" s="23" t="e">
        <f>IF(AND('MAPA CORRUPCION'!#REF!="Media",'MAPA CORRUPCION'!#REF!="Mayor"),CONCATENATE("R6C",'MAPA CORRUPCION'!#REF!),"")</f>
        <v>#REF!</v>
      </c>
      <c r="AE31" s="23" t="e">
        <f>IF(AND('MAPA CORRUPCION'!#REF!="Media",'MAPA CORRUPCION'!#REF!="Mayor"),CONCATENATE("R6C",'MAPA CORRUPCION'!#REF!),"")</f>
        <v>#REF!</v>
      </c>
      <c r="AF31" s="23" t="e">
        <f>IF(AND('MAPA CORRUPCION'!#REF!="Media",'MAPA CORRUPCION'!#REF!="Mayor"),CONCATENATE("R6C",'MAPA CORRUPCION'!#REF!),"")</f>
        <v>#REF!</v>
      </c>
      <c r="AG31" s="19" t="e">
        <f>IF(AND('MAPA CORRUPCION'!#REF!="Media",'MAPA CORRUPCION'!#REF!="Mayor"),CONCATENATE("R6C",'MAPA CORRUPCION'!#REF!),"")</f>
        <v>#REF!</v>
      </c>
      <c r="AH31" s="20" t="e">
        <f>IF(AND('MAPA CORRUPCION'!#REF!="Media",'MAPA CORRUPCION'!#REF!="Catastrófico"),CONCATENATE("R6C",'MAPA CORRUPCION'!#REF!),"")</f>
        <v>#REF!</v>
      </c>
      <c r="AI31" s="21" t="e">
        <f>IF(AND('MAPA CORRUPCION'!#REF!="Media",'MAPA CORRUPCION'!#REF!="Catastrófico"),CONCATENATE("R6C",'MAPA CORRUPCION'!#REF!),"")</f>
        <v>#REF!</v>
      </c>
      <c r="AJ31" s="21" t="e">
        <f>IF(AND('MAPA CORRUPCION'!#REF!="Media",'MAPA CORRUPCION'!#REF!="Catastrófico"),CONCATENATE("R6C",'MAPA CORRUPCION'!#REF!),"")</f>
        <v>#REF!</v>
      </c>
      <c r="AK31" s="21" t="e">
        <f>IF(AND('MAPA CORRUPCION'!#REF!="Media",'MAPA CORRUPCION'!#REF!="Catastrófico"),CONCATENATE("R6C",'MAPA CORRUPCION'!#REF!),"")</f>
        <v>#REF!</v>
      </c>
      <c r="AL31" s="21" t="e">
        <f>IF(AND('MAPA CORRUPCION'!#REF!="Media",'MAPA CORRUPCION'!#REF!="Catastrófico"),CONCATENATE("R6C",'MAPA CORRUPCION'!#REF!),"")</f>
        <v>#REF!</v>
      </c>
      <c r="AM31" s="22" t="e">
        <f>IF(AND('MAPA CORRUPCION'!#REF!="Media",'MAPA CORRUPCION'!#REF!="Catastrófico"),CONCATENATE("R6C",'MAPA CORRUPCION'!#REF!),"")</f>
        <v>#REF!</v>
      </c>
      <c r="AN31" s="49"/>
      <c r="AO31" s="427"/>
      <c r="AP31" s="428"/>
      <c r="AQ31" s="428"/>
      <c r="AR31" s="428"/>
      <c r="AS31" s="428"/>
      <c r="AT31" s="42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row>
    <row r="32" spans="1:76" ht="15" customHeight="1" x14ac:dyDescent="0.25">
      <c r="A32" s="49"/>
      <c r="B32" s="296"/>
      <c r="C32" s="296"/>
      <c r="D32" s="297"/>
      <c r="E32" s="397"/>
      <c r="F32" s="398"/>
      <c r="G32" s="398"/>
      <c r="H32" s="398"/>
      <c r="I32" s="413"/>
      <c r="J32" s="33" t="e">
        <f>IF(AND('MAPA CORRUPCION'!#REF!="Media",'MAPA CORRUPCION'!#REF!="Leve"),CONCATENATE("R7C",'MAPA CORRUPCION'!#REF!),"")</f>
        <v>#REF!</v>
      </c>
      <c r="K32" s="34" t="e">
        <f>IF(AND('MAPA CORRUPCION'!#REF!="Media",'MAPA CORRUPCION'!#REF!="Leve"),CONCATENATE("R7C",'MAPA CORRUPCION'!#REF!),"")</f>
        <v>#REF!</v>
      </c>
      <c r="L32" s="34" t="e">
        <f>IF(AND('MAPA CORRUPCION'!#REF!="Media",'MAPA CORRUPCION'!#REF!="Leve"),CONCATENATE("R7C",'MAPA CORRUPCION'!#REF!),"")</f>
        <v>#REF!</v>
      </c>
      <c r="M32" s="34" t="e">
        <f>IF(AND('MAPA CORRUPCION'!#REF!="Media",'MAPA CORRUPCION'!#REF!="Leve"),CONCATENATE("R7C",'MAPA CORRUPCION'!#REF!),"")</f>
        <v>#REF!</v>
      </c>
      <c r="N32" s="34" t="e">
        <f>IF(AND('MAPA CORRUPCION'!#REF!="Media",'MAPA CORRUPCION'!#REF!="Leve"),CONCATENATE("R7C",'MAPA CORRUPCION'!#REF!),"")</f>
        <v>#REF!</v>
      </c>
      <c r="O32" s="35" t="e">
        <f>IF(AND('MAPA CORRUPCION'!#REF!="Media",'MAPA CORRUPCION'!#REF!="Leve"),CONCATENATE("R7C",'MAPA CORRUPCION'!#REF!),"")</f>
        <v>#REF!</v>
      </c>
      <c r="P32" s="33" t="e">
        <f>IF(AND('MAPA CORRUPCION'!#REF!="Media",'MAPA CORRUPCION'!#REF!="Menor"),CONCATENATE("R7C",'MAPA CORRUPCION'!#REF!),"")</f>
        <v>#REF!</v>
      </c>
      <c r="Q32" s="34" t="e">
        <f>IF(AND('MAPA CORRUPCION'!#REF!="Media",'MAPA CORRUPCION'!#REF!="Menor"),CONCATENATE("R7C",'MAPA CORRUPCION'!#REF!),"")</f>
        <v>#REF!</v>
      </c>
      <c r="R32" s="34" t="e">
        <f>IF(AND('MAPA CORRUPCION'!#REF!="Media",'MAPA CORRUPCION'!#REF!="Menor"),CONCATENATE("R7C",'MAPA CORRUPCION'!#REF!),"")</f>
        <v>#REF!</v>
      </c>
      <c r="S32" s="34" t="e">
        <f>IF(AND('MAPA CORRUPCION'!#REF!="Media",'MAPA CORRUPCION'!#REF!="Menor"),CONCATENATE("R7C",'MAPA CORRUPCION'!#REF!),"")</f>
        <v>#REF!</v>
      </c>
      <c r="T32" s="34" t="e">
        <f>IF(AND('MAPA CORRUPCION'!#REF!="Media",'MAPA CORRUPCION'!#REF!="Menor"),CONCATENATE("R7C",'MAPA CORRUPCION'!#REF!),"")</f>
        <v>#REF!</v>
      </c>
      <c r="U32" s="35" t="e">
        <f>IF(AND('MAPA CORRUPCION'!#REF!="Media",'MAPA CORRUPCION'!#REF!="Menor"),CONCATENATE("R7C",'MAPA CORRUPCION'!#REF!),"")</f>
        <v>#REF!</v>
      </c>
      <c r="V32" s="33" t="e">
        <f>IF(AND('MAPA CORRUPCION'!#REF!="Media",'MAPA CORRUPCION'!#REF!="Moderado"),CONCATENATE("R7C",'MAPA CORRUPCION'!#REF!),"")</f>
        <v>#REF!</v>
      </c>
      <c r="W32" s="34" t="e">
        <f>IF(AND('MAPA CORRUPCION'!#REF!="Media",'MAPA CORRUPCION'!#REF!="Moderado"),CONCATENATE("R7C",'MAPA CORRUPCION'!#REF!),"")</f>
        <v>#REF!</v>
      </c>
      <c r="X32" s="34" t="e">
        <f>IF(AND('MAPA CORRUPCION'!#REF!="Media",'MAPA CORRUPCION'!#REF!="Moderado"),CONCATENATE("R7C",'MAPA CORRUPCION'!#REF!),"")</f>
        <v>#REF!</v>
      </c>
      <c r="Y32" s="34" t="e">
        <f>IF(AND('MAPA CORRUPCION'!#REF!="Media",'MAPA CORRUPCION'!#REF!="Moderado"),CONCATENATE("R7C",'MAPA CORRUPCION'!#REF!),"")</f>
        <v>#REF!</v>
      </c>
      <c r="Z32" s="34" t="e">
        <f>IF(AND('MAPA CORRUPCION'!#REF!="Media",'MAPA CORRUPCION'!#REF!="Moderado"),CONCATENATE("R7C",'MAPA CORRUPCION'!#REF!),"")</f>
        <v>#REF!</v>
      </c>
      <c r="AA32" s="35" t="e">
        <f>IF(AND('MAPA CORRUPCION'!#REF!="Media",'MAPA CORRUPCION'!#REF!="Moderado"),CONCATENATE("R7C",'MAPA CORRUPCION'!#REF!),"")</f>
        <v>#REF!</v>
      </c>
      <c r="AB32" s="17" t="e">
        <f>IF(AND('MAPA CORRUPCION'!#REF!="Media",'MAPA CORRUPCION'!#REF!="Mayor"),CONCATENATE("R7C",'MAPA CORRUPCION'!#REF!),"")</f>
        <v>#REF!</v>
      </c>
      <c r="AC32" s="18" t="e">
        <f>IF(AND('MAPA CORRUPCION'!#REF!="Media",'MAPA CORRUPCION'!#REF!="Mayor"),CONCATENATE("R7C",'MAPA CORRUPCION'!#REF!),"")</f>
        <v>#REF!</v>
      </c>
      <c r="AD32" s="23" t="e">
        <f>IF(AND('MAPA CORRUPCION'!#REF!="Media",'MAPA CORRUPCION'!#REF!="Mayor"),CONCATENATE("R7C",'MAPA CORRUPCION'!#REF!),"")</f>
        <v>#REF!</v>
      </c>
      <c r="AE32" s="23" t="e">
        <f>IF(AND('MAPA CORRUPCION'!#REF!="Media",'MAPA CORRUPCION'!#REF!="Mayor"),CONCATENATE("R7C",'MAPA CORRUPCION'!#REF!),"")</f>
        <v>#REF!</v>
      </c>
      <c r="AF32" s="23" t="e">
        <f>IF(AND('MAPA CORRUPCION'!#REF!="Media",'MAPA CORRUPCION'!#REF!="Mayor"),CONCATENATE("R7C",'MAPA CORRUPCION'!#REF!),"")</f>
        <v>#REF!</v>
      </c>
      <c r="AG32" s="19" t="e">
        <f>IF(AND('MAPA CORRUPCION'!#REF!="Media",'MAPA CORRUPCION'!#REF!="Mayor"),CONCATENATE("R7C",'MAPA CORRUPCION'!#REF!),"")</f>
        <v>#REF!</v>
      </c>
      <c r="AH32" s="20" t="e">
        <f>IF(AND('MAPA CORRUPCION'!#REF!="Media",'MAPA CORRUPCION'!#REF!="Catastrófico"),CONCATENATE("R7C",'MAPA CORRUPCION'!#REF!),"")</f>
        <v>#REF!</v>
      </c>
      <c r="AI32" s="21" t="e">
        <f>IF(AND('MAPA CORRUPCION'!#REF!="Media",'MAPA CORRUPCION'!#REF!="Catastrófico"),CONCATENATE("R7C",'MAPA CORRUPCION'!#REF!),"")</f>
        <v>#REF!</v>
      </c>
      <c r="AJ32" s="21" t="e">
        <f>IF(AND('MAPA CORRUPCION'!#REF!="Media",'MAPA CORRUPCION'!#REF!="Catastrófico"),CONCATENATE("R7C",'MAPA CORRUPCION'!#REF!),"")</f>
        <v>#REF!</v>
      </c>
      <c r="AK32" s="21" t="e">
        <f>IF(AND('MAPA CORRUPCION'!#REF!="Media",'MAPA CORRUPCION'!#REF!="Catastrófico"),CONCATENATE("R7C",'MAPA CORRUPCION'!#REF!),"")</f>
        <v>#REF!</v>
      </c>
      <c r="AL32" s="21" t="e">
        <f>IF(AND('MAPA CORRUPCION'!#REF!="Media",'MAPA CORRUPCION'!#REF!="Catastrófico"),CONCATENATE("R7C",'MAPA CORRUPCION'!#REF!),"")</f>
        <v>#REF!</v>
      </c>
      <c r="AM32" s="22" t="e">
        <f>IF(AND('MAPA CORRUPCION'!#REF!="Media",'MAPA CORRUPCION'!#REF!="Catastrófico"),CONCATENATE("R7C",'MAPA CORRUPCION'!#REF!),"")</f>
        <v>#REF!</v>
      </c>
      <c r="AN32" s="49"/>
      <c r="AO32" s="427"/>
      <c r="AP32" s="428"/>
      <c r="AQ32" s="428"/>
      <c r="AR32" s="428"/>
      <c r="AS32" s="428"/>
      <c r="AT32" s="42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row>
    <row r="33" spans="1:80" ht="15" customHeight="1" x14ac:dyDescent="0.25">
      <c r="A33" s="49"/>
      <c r="B33" s="296"/>
      <c r="C33" s="296"/>
      <c r="D33" s="297"/>
      <c r="E33" s="397"/>
      <c r="F33" s="398"/>
      <c r="G33" s="398"/>
      <c r="H33" s="398"/>
      <c r="I33" s="413"/>
      <c r="J33" s="33" t="e">
        <f>IF(AND('MAPA CORRUPCION'!#REF!="Media",'MAPA CORRUPCION'!#REF!="Leve"),CONCATENATE("R8C",'MAPA CORRUPCION'!#REF!),"")</f>
        <v>#REF!</v>
      </c>
      <c r="K33" s="34" t="e">
        <f>IF(AND('MAPA CORRUPCION'!#REF!="Media",'MAPA CORRUPCION'!#REF!="Leve"),CONCATENATE("R8C",'MAPA CORRUPCION'!#REF!),"")</f>
        <v>#REF!</v>
      </c>
      <c r="L33" s="34" t="e">
        <f>IF(AND('MAPA CORRUPCION'!#REF!="Media",'MAPA CORRUPCION'!#REF!="Leve"),CONCATENATE("R8C",'MAPA CORRUPCION'!#REF!),"")</f>
        <v>#REF!</v>
      </c>
      <c r="M33" s="34" t="e">
        <f>IF(AND('MAPA CORRUPCION'!#REF!="Media",'MAPA CORRUPCION'!#REF!="Leve"),CONCATENATE("R8C",'MAPA CORRUPCION'!#REF!),"")</f>
        <v>#REF!</v>
      </c>
      <c r="N33" s="34" t="e">
        <f>IF(AND('MAPA CORRUPCION'!#REF!="Media",'MAPA CORRUPCION'!#REF!="Leve"),CONCATENATE("R8C",'MAPA CORRUPCION'!#REF!),"")</f>
        <v>#REF!</v>
      </c>
      <c r="O33" s="35" t="e">
        <f>IF(AND('MAPA CORRUPCION'!#REF!="Media",'MAPA CORRUPCION'!#REF!="Leve"),CONCATENATE("R8C",'MAPA CORRUPCION'!#REF!),"")</f>
        <v>#REF!</v>
      </c>
      <c r="P33" s="33" t="e">
        <f>IF(AND('MAPA CORRUPCION'!#REF!="Media",'MAPA CORRUPCION'!#REF!="Menor"),CONCATENATE("R8C",'MAPA CORRUPCION'!#REF!),"")</f>
        <v>#REF!</v>
      </c>
      <c r="Q33" s="34" t="e">
        <f>IF(AND('MAPA CORRUPCION'!#REF!="Media",'MAPA CORRUPCION'!#REF!="Menor"),CONCATENATE("R8C",'MAPA CORRUPCION'!#REF!),"")</f>
        <v>#REF!</v>
      </c>
      <c r="R33" s="34" t="e">
        <f>IF(AND('MAPA CORRUPCION'!#REF!="Media",'MAPA CORRUPCION'!#REF!="Menor"),CONCATENATE("R8C",'MAPA CORRUPCION'!#REF!),"")</f>
        <v>#REF!</v>
      </c>
      <c r="S33" s="34" t="e">
        <f>IF(AND('MAPA CORRUPCION'!#REF!="Media",'MAPA CORRUPCION'!#REF!="Menor"),CONCATENATE("R8C",'MAPA CORRUPCION'!#REF!),"")</f>
        <v>#REF!</v>
      </c>
      <c r="T33" s="34" t="e">
        <f>IF(AND('MAPA CORRUPCION'!#REF!="Media",'MAPA CORRUPCION'!#REF!="Menor"),CONCATENATE("R8C",'MAPA CORRUPCION'!#REF!),"")</f>
        <v>#REF!</v>
      </c>
      <c r="U33" s="35" t="e">
        <f>IF(AND('MAPA CORRUPCION'!#REF!="Media",'MAPA CORRUPCION'!#REF!="Menor"),CONCATENATE("R8C",'MAPA CORRUPCION'!#REF!),"")</f>
        <v>#REF!</v>
      </c>
      <c r="V33" s="33" t="e">
        <f>IF(AND('MAPA CORRUPCION'!#REF!="Media",'MAPA CORRUPCION'!#REF!="Moderado"),CONCATENATE("R8C",'MAPA CORRUPCION'!#REF!),"")</f>
        <v>#REF!</v>
      </c>
      <c r="W33" s="34" t="e">
        <f>IF(AND('MAPA CORRUPCION'!#REF!="Media",'MAPA CORRUPCION'!#REF!="Moderado"),CONCATENATE("R8C",'MAPA CORRUPCION'!#REF!),"")</f>
        <v>#REF!</v>
      </c>
      <c r="X33" s="34" t="e">
        <f>IF(AND('MAPA CORRUPCION'!#REF!="Media",'MAPA CORRUPCION'!#REF!="Moderado"),CONCATENATE("R8C",'MAPA CORRUPCION'!#REF!),"")</f>
        <v>#REF!</v>
      </c>
      <c r="Y33" s="34" t="e">
        <f>IF(AND('MAPA CORRUPCION'!#REF!="Media",'MAPA CORRUPCION'!#REF!="Moderado"),CONCATENATE("R8C",'MAPA CORRUPCION'!#REF!),"")</f>
        <v>#REF!</v>
      </c>
      <c r="Z33" s="34" t="e">
        <f>IF(AND('MAPA CORRUPCION'!#REF!="Media",'MAPA CORRUPCION'!#REF!="Moderado"),CONCATENATE("R8C",'MAPA CORRUPCION'!#REF!),"")</f>
        <v>#REF!</v>
      </c>
      <c r="AA33" s="35" t="e">
        <f>IF(AND('MAPA CORRUPCION'!#REF!="Media",'MAPA CORRUPCION'!#REF!="Moderado"),CONCATENATE("R8C",'MAPA CORRUPCION'!#REF!),"")</f>
        <v>#REF!</v>
      </c>
      <c r="AB33" s="17" t="e">
        <f>IF(AND('MAPA CORRUPCION'!#REF!="Media",'MAPA CORRUPCION'!#REF!="Mayor"),CONCATENATE("R8C",'MAPA CORRUPCION'!#REF!),"")</f>
        <v>#REF!</v>
      </c>
      <c r="AC33" s="18" t="e">
        <f>IF(AND('MAPA CORRUPCION'!#REF!="Media",'MAPA CORRUPCION'!#REF!="Mayor"),CONCATENATE("R8C",'MAPA CORRUPCION'!#REF!),"")</f>
        <v>#REF!</v>
      </c>
      <c r="AD33" s="23" t="e">
        <f>IF(AND('MAPA CORRUPCION'!#REF!="Media",'MAPA CORRUPCION'!#REF!="Mayor"),CONCATENATE("R8C",'MAPA CORRUPCION'!#REF!),"")</f>
        <v>#REF!</v>
      </c>
      <c r="AE33" s="23" t="e">
        <f>IF(AND('MAPA CORRUPCION'!#REF!="Media",'MAPA CORRUPCION'!#REF!="Mayor"),CONCATENATE("R8C",'MAPA CORRUPCION'!#REF!),"")</f>
        <v>#REF!</v>
      </c>
      <c r="AF33" s="23" t="e">
        <f>IF(AND('MAPA CORRUPCION'!#REF!="Media",'MAPA CORRUPCION'!#REF!="Mayor"),CONCATENATE("R8C",'MAPA CORRUPCION'!#REF!),"")</f>
        <v>#REF!</v>
      </c>
      <c r="AG33" s="19" t="e">
        <f>IF(AND('MAPA CORRUPCION'!#REF!="Media",'MAPA CORRUPCION'!#REF!="Mayor"),CONCATENATE("R8C",'MAPA CORRUPCION'!#REF!),"")</f>
        <v>#REF!</v>
      </c>
      <c r="AH33" s="20" t="e">
        <f>IF(AND('MAPA CORRUPCION'!#REF!="Media",'MAPA CORRUPCION'!#REF!="Catastrófico"),CONCATENATE("R8C",'MAPA CORRUPCION'!#REF!),"")</f>
        <v>#REF!</v>
      </c>
      <c r="AI33" s="21" t="e">
        <f>IF(AND('MAPA CORRUPCION'!#REF!="Media",'MAPA CORRUPCION'!#REF!="Catastrófico"),CONCATENATE("R8C",'MAPA CORRUPCION'!#REF!),"")</f>
        <v>#REF!</v>
      </c>
      <c r="AJ33" s="21" t="e">
        <f>IF(AND('MAPA CORRUPCION'!#REF!="Media",'MAPA CORRUPCION'!#REF!="Catastrófico"),CONCATENATE("R8C",'MAPA CORRUPCION'!#REF!),"")</f>
        <v>#REF!</v>
      </c>
      <c r="AK33" s="21" t="e">
        <f>IF(AND('MAPA CORRUPCION'!#REF!="Media",'MAPA CORRUPCION'!#REF!="Catastrófico"),CONCATENATE("R8C",'MAPA CORRUPCION'!#REF!),"")</f>
        <v>#REF!</v>
      </c>
      <c r="AL33" s="21" t="e">
        <f>IF(AND('MAPA CORRUPCION'!#REF!="Media",'MAPA CORRUPCION'!#REF!="Catastrófico"),CONCATENATE("R8C",'MAPA CORRUPCION'!#REF!),"")</f>
        <v>#REF!</v>
      </c>
      <c r="AM33" s="22" t="e">
        <f>IF(AND('MAPA CORRUPCION'!#REF!="Media",'MAPA CORRUPCION'!#REF!="Catastrófico"),CONCATENATE("R8C",'MAPA CORRUPCION'!#REF!),"")</f>
        <v>#REF!</v>
      </c>
      <c r="AN33" s="49"/>
      <c r="AO33" s="427"/>
      <c r="AP33" s="428"/>
      <c r="AQ33" s="428"/>
      <c r="AR33" s="428"/>
      <c r="AS33" s="428"/>
      <c r="AT33" s="42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row>
    <row r="34" spans="1:80" ht="15" customHeight="1" x14ac:dyDescent="0.25">
      <c r="A34" s="49"/>
      <c r="B34" s="296"/>
      <c r="C34" s="296"/>
      <c r="D34" s="297"/>
      <c r="E34" s="397"/>
      <c r="F34" s="398"/>
      <c r="G34" s="398"/>
      <c r="H34" s="398"/>
      <c r="I34" s="413"/>
      <c r="J34" s="33" t="e">
        <f>IF(AND('MAPA CORRUPCION'!#REF!="Media",'MAPA CORRUPCION'!#REF!="Leve"),CONCATENATE("R9C",'MAPA CORRUPCION'!#REF!),"")</f>
        <v>#REF!</v>
      </c>
      <c r="K34" s="34" t="e">
        <f>IF(AND('MAPA CORRUPCION'!#REF!="Media",'MAPA CORRUPCION'!#REF!="Leve"),CONCATENATE("R9C",'MAPA CORRUPCION'!#REF!),"")</f>
        <v>#REF!</v>
      </c>
      <c r="L34" s="34" t="e">
        <f>IF(AND('MAPA CORRUPCION'!#REF!="Media",'MAPA CORRUPCION'!#REF!="Leve"),CONCATENATE("R9C",'MAPA CORRUPCION'!#REF!),"")</f>
        <v>#REF!</v>
      </c>
      <c r="M34" s="34" t="e">
        <f>IF(AND('MAPA CORRUPCION'!#REF!="Media",'MAPA CORRUPCION'!#REF!="Leve"),CONCATENATE("R9C",'MAPA CORRUPCION'!#REF!),"")</f>
        <v>#REF!</v>
      </c>
      <c r="N34" s="34" t="e">
        <f>IF(AND('MAPA CORRUPCION'!#REF!="Media",'MAPA CORRUPCION'!#REF!="Leve"),CONCATENATE("R9C",'MAPA CORRUPCION'!#REF!),"")</f>
        <v>#REF!</v>
      </c>
      <c r="O34" s="35" t="e">
        <f>IF(AND('MAPA CORRUPCION'!#REF!="Media",'MAPA CORRUPCION'!#REF!="Leve"),CONCATENATE("R9C",'MAPA CORRUPCION'!#REF!),"")</f>
        <v>#REF!</v>
      </c>
      <c r="P34" s="33" t="e">
        <f>IF(AND('MAPA CORRUPCION'!#REF!="Media",'MAPA CORRUPCION'!#REF!="Menor"),CONCATENATE("R9C",'MAPA CORRUPCION'!#REF!),"")</f>
        <v>#REF!</v>
      </c>
      <c r="Q34" s="34" t="e">
        <f>IF(AND('MAPA CORRUPCION'!#REF!="Media",'MAPA CORRUPCION'!#REF!="Menor"),CONCATENATE("R9C",'MAPA CORRUPCION'!#REF!),"")</f>
        <v>#REF!</v>
      </c>
      <c r="R34" s="34" t="e">
        <f>IF(AND('MAPA CORRUPCION'!#REF!="Media",'MAPA CORRUPCION'!#REF!="Menor"),CONCATENATE("R9C",'MAPA CORRUPCION'!#REF!),"")</f>
        <v>#REF!</v>
      </c>
      <c r="S34" s="34" t="e">
        <f>IF(AND('MAPA CORRUPCION'!#REF!="Media",'MAPA CORRUPCION'!#REF!="Menor"),CONCATENATE("R9C",'MAPA CORRUPCION'!#REF!),"")</f>
        <v>#REF!</v>
      </c>
      <c r="T34" s="34" t="e">
        <f>IF(AND('MAPA CORRUPCION'!#REF!="Media",'MAPA CORRUPCION'!#REF!="Menor"),CONCATENATE("R9C",'MAPA CORRUPCION'!#REF!),"")</f>
        <v>#REF!</v>
      </c>
      <c r="U34" s="35" t="e">
        <f>IF(AND('MAPA CORRUPCION'!#REF!="Media",'MAPA CORRUPCION'!#REF!="Menor"),CONCATENATE("R9C",'MAPA CORRUPCION'!#REF!),"")</f>
        <v>#REF!</v>
      </c>
      <c r="V34" s="33" t="e">
        <f>IF(AND('MAPA CORRUPCION'!#REF!="Media",'MAPA CORRUPCION'!#REF!="Moderado"),CONCATENATE("R9C",'MAPA CORRUPCION'!#REF!),"")</f>
        <v>#REF!</v>
      </c>
      <c r="W34" s="34" t="e">
        <f>IF(AND('MAPA CORRUPCION'!#REF!="Media",'MAPA CORRUPCION'!#REF!="Moderado"),CONCATENATE("R9C",'MAPA CORRUPCION'!#REF!),"")</f>
        <v>#REF!</v>
      </c>
      <c r="X34" s="34" t="e">
        <f>IF(AND('MAPA CORRUPCION'!#REF!="Media",'MAPA CORRUPCION'!#REF!="Moderado"),CONCATENATE("R9C",'MAPA CORRUPCION'!#REF!),"")</f>
        <v>#REF!</v>
      </c>
      <c r="Y34" s="34" t="e">
        <f>IF(AND('MAPA CORRUPCION'!#REF!="Media",'MAPA CORRUPCION'!#REF!="Moderado"),CONCATENATE("R9C",'MAPA CORRUPCION'!#REF!),"")</f>
        <v>#REF!</v>
      </c>
      <c r="Z34" s="34" t="e">
        <f>IF(AND('MAPA CORRUPCION'!#REF!="Media",'MAPA CORRUPCION'!#REF!="Moderado"),CONCATENATE("R9C",'MAPA CORRUPCION'!#REF!),"")</f>
        <v>#REF!</v>
      </c>
      <c r="AA34" s="35" t="e">
        <f>IF(AND('MAPA CORRUPCION'!#REF!="Media",'MAPA CORRUPCION'!#REF!="Moderado"),CONCATENATE("R9C",'MAPA CORRUPCION'!#REF!),"")</f>
        <v>#REF!</v>
      </c>
      <c r="AB34" s="17" t="e">
        <f>IF(AND('MAPA CORRUPCION'!#REF!="Media",'MAPA CORRUPCION'!#REF!="Mayor"),CONCATENATE("R9C",'MAPA CORRUPCION'!#REF!),"")</f>
        <v>#REF!</v>
      </c>
      <c r="AC34" s="18" t="e">
        <f>IF(AND('MAPA CORRUPCION'!#REF!="Media",'MAPA CORRUPCION'!#REF!="Mayor"),CONCATENATE("R9C",'MAPA CORRUPCION'!#REF!),"")</f>
        <v>#REF!</v>
      </c>
      <c r="AD34" s="23" t="e">
        <f>IF(AND('MAPA CORRUPCION'!#REF!="Media",'MAPA CORRUPCION'!#REF!="Mayor"),CONCATENATE("R9C",'MAPA CORRUPCION'!#REF!),"")</f>
        <v>#REF!</v>
      </c>
      <c r="AE34" s="23" t="e">
        <f>IF(AND('MAPA CORRUPCION'!#REF!="Media",'MAPA CORRUPCION'!#REF!="Mayor"),CONCATENATE("R9C",'MAPA CORRUPCION'!#REF!),"")</f>
        <v>#REF!</v>
      </c>
      <c r="AF34" s="23" t="e">
        <f>IF(AND('MAPA CORRUPCION'!#REF!="Media",'MAPA CORRUPCION'!#REF!="Mayor"),CONCATENATE("R9C",'MAPA CORRUPCION'!#REF!),"")</f>
        <v>#REF!</v>
      </c>
      <c r="AG34" s="19" t="e">
        <f>IF(AND('MAPA CORRUPCION'!#REF!="Media",'MAPA CORRUPCION'!#REF!="Mayor"),CONCATENATE("R9C",'MAPA CORRUPCION'!#REF!),"")</f>
        <v>#REF!</v>
      </c>
      <c r="AH34" s="20" t="e">
        <f>IF(AND('MAPA CORRUPCION'!#REF!="Media",'MAPA CORRUPCION'!#REF!="Catastrófico"),CONCATENATE("R9C",'MAPA CORRUPCION'!#REF!),"")</f>
        <v>#REF!</v>
      </c>
      <c r="AI34" s="21" t="e">
        <f>IF(AND('MAPA CORRUPCION'!#REF!="Media",'MAPA CORRUPCION'!#REF!="Catastrófico"),CONCATENATE("R9C",'MAPA CORRUPCION'!#REF!),"")</f>
        <v>#REF!</v>
      </c>
      <c r="AJ34" s="21" t="e">
        <f>IF(AND('MAPA CORRUPCION'!#REF!="Media",'MAPA CORRUPCION'!#REF!="Catastrófico"),CONCATENATE("R9C",'MAPA CORRUPCION'!#REF!),"")</f>
        <v>#REF!</v>
      </c>
      <c r="AK34" s="21" t="e">
        <f>IF(AND('MAPA CORRUPCION'!#REF!="Media",'MAPA CORRUPCION'!#REF!="Catastrófico"),CONCATENATE("R9C",'MAPA CORRUPCION'!#REF!),"")</f>
        <v>#REF!</v>
      </c>
      <c r="AL34" s="21" t="e">
        <f>IF(AND('MAPA CORRUPCION'!#REF!="Media",'MAPA CORRUPCION'!#REF!="Catastrófico"),CONCATENATE("R9C",'MAPA CORRUPCION'!#REF!),"")</f>
        <v>#REF!</v>
      </c>
      <c r="AM34" s="22" t="e">
        <f>IF(AND('MAPA CORRUPCION'!#REF!="Media",'MAPA CORRUPCION'!#REF!="Catastrófico"),CONCATENATE("R9C",'MAPA CORRUPCION'!#REF!),"")</f>
        <v>#REF!</v>
      </c>
      <c r="AN34" s="49"/>
      <c r="AO34" s="427"/>
      <c r="AP34" s="428"/>
      <c r="AQ34" s="428"/>
      <c r="AR34" s="428"/>
      <c r="AS34" s="428"/>
      <c r="AT34" s="42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row>
    <row r="35" spans="1:80" ht="15.75" customHeight="1" thickBot="1" x14ac:dyDescent="0.3">
      <c r="A35" s="49"/>
      <c r="B35" s="296"/>
      <c r="C35" s="296"/>
      <c r="D35" s="297"/>
      <c r="E35" s="399"/>
      <c r="F35" s="400"/>
      <c r="G35" s="400"/>
      <c r="H35" s="400"/>
      <c r="I35" s="414"/>
      <c r="J35" s="33" t="e">
        <f>IF(AND('MAPA CORRUPCION'!#REF!="Media",'MAPA CORRUPCION'!#REF!="Leve"),CONCATENATE("R10C",'MAPA CORRUPCION'!#REF!),"")</f>
        <v>#REF!</v>
      </c>
      <c r="K35" s="34" t="e">
        <f>IF(AND('MAPA CORRUPCION'!#REF!="Media",'MAPA CORRUPCION'!#REF!="Leve"),CONCATENATE("R10C",'MAPA CORRUPCION'!#REF!),"")</f>
        <v>#REF!</v>
      </c>
      <c r="L35" s="34" t="e">
        <f>IF(AND('MAPA CORRUPCION'!#REF!="Media",'MAPA CORRUPCION'!#REF!="Leve"),CONCATENATE("R10C",'MAPA CORRUPCION'!#REF!),"")</f>
        <v>#REF!</v>
      </c>
      <c r="M35" s="34" t="e">
        <f>IF(AND('MAPA CORRUPCION'!#REF!="Media",'MAPA CORRUPCION'!#REF!="Leve"),CONCATENATE("R10C",'MAPA CORRUPCION'!#REF!),"")</f>
        <v>#REF!</v>
      </c>
      <c r="N35" s="34" t="e">
        <f>IF(AND('MAPA CORRUPCION'!#REF!="Media",'MAPA CORRUPCION'!#REF!="Leve"),CONCATENATE("R10C",'MAPA CORRUPCION'!#REF!),"")</f>
        <v>#REF!</v>
      </c>
      <c r="O35" s="35" t="e">
        <f>IF(AND('MAPA CORRUPCION'!#REF!="Media",'MAPA CORRUPCION'!#REF!="Leve"),CONCATENATE("R10C",'MAPA CORRUPCION'!#REF!),"")</f>
        <v>#REF!</v>
      </c>
      <c r="P35" s="33" t="e">
        <f>IF(AND('MAPA CORRUPCION'!#REF!="Media",'MAPA CORRUPCION'!#REF!="Menor"),CONCATENATE("R10C",'MAPA CORRUPCION'!#REF!),"")</f>
        <v>#REF!</v>
      </c>
      <c r="Q35" s="34" t="e">
        <f>IF(AND('MAPA CORRUPCION'!#REF!="Media",'MAPA CORRUPCION'!#REF!="Menor"),CONCATENATE("R10C",'MAPA CORRUPCION'!#REF!),"")</f>
        <v>#REF!</v>
      </c>
      <c r="R35" s="34" t="e">
        <f>IF(AND('MAPA CORRUPCION'!#REF!="Media",'MAPA CORRUPCION'!#REF!="Menor"),CONCATENATE("R10C",'MAPA CORRUPCION'!#REF!),"")</f>
        <v>#REF!</v>
      </c>
      <c r="S35" s="34" t="e">
        <f>IF(AND('MAPA CORRUPCION'!#REF!="Media",'MAPA CORRUPCION'!#REF!="Menor"),CONCATENATE("R10C",'MAPA CORRUPCION'!#REF!),"")</f>
        <v>#REF!</v>
      </c>
      <c r="T35" s="34" t="e">
        <f>IF(AND('MAPA CORRUPCION'!#REF!="Media",'MAPA CORRUPCION'!#REF!="Menor"),CONCATENATE("R10C",'MAPA CORRUPCION'!#REF!),"")</f>
        <v>#REF!</v>
      </c>
      <c r="U35" s="35" t="e">
        <f>IF(AND('MAPA CORRUPCION'!#REF!="Media",'MAPA CORRUPCION'!#REF!="Menor"),CONCATENATE("R10C",'MAPA CORRUPCION'!#REF!),"")</f>
        <v>#REF!</v>
      </c>
      <c r="V35" s="33" t="e">
        <f>IF(AND('MAPA CORRUPCION'!#REF!="Media",'MAPA CORRUPCION'!#REF!="Moderado"),CONCATENATE("R10C",'MAPA CORRUPCION'!#REF!),"")</f>
        <v>#REF!</v>
      </c>
      <c r="W35" s="34" t="e">
        <f>IF(AND('MAPA CORRUPCION'!#REF!="Media",'MAPA CORRUPCION'!#REF!="Moderado"),CONCATENATE("R10C",'MAPA CORRUPCION'!#REF!),"")</f>
        <v>#REF!</v>
      </c>
      <c r="X35" s="34" t="e">
        <f>IF(AND('MAPA CORRUPCION'!#REF!="Media",'MAPA CORRUPCION'!#REF!="Moderado"),CONCATENATE("R10C",'MAPA CORRUPCION'!#REF!),"")</f>
        <v>#REF!</v>
      </c>
      <c r="Y35" s="34" t="e">
        <f>IF(AND('MAPA CORRUPCION'!#REF!="Media",'MAPA CORRUPCION'!#REF!="Moderado"),CONCATENATE("R10C",'MAPA CORRUPCION'!#REF!),"")</f>
        <v>#REF!</v>
      </c>
      <c r="Z35" s="34" t="e">
        <f>IF(AND('MAPA CORRUPCION'!#REF!="Media",'MAPA CORRUPCION'!#REF!="Moderado"),CONCATENATE("R10C",'MAPA CORRUPCION'!#REF!),"")</f>
        <v>#REF!</v>
      </c>
      <c r="AA35" s="35" t="e">
        <f>IF(AND('MAPA CORRUPCION'!#REF!="Media",'MAPA CORRUPCION'!#REF!="Moderado"),CONCATENATE("R10C",'MAPA CORRUPCION'!#REF!),"")</f>
        <v>#REF!</v>
      </c>
      <c r="AB35" s="24" t="e">
        <f>IF(AND('MAPA CORRUPCION'!#REF!="Media",'MAPA CORRUPCION'!#REF!="Mayor"),CONCATENATE("R10C",'MAPA CORRUPCION'!#REF!),"")</f>
        <v>#REF!</v>
      </c>
      <c r="AC35" s="25" t="e">
        <f>IF(AND('MAPA CORRUPCION'!#REF!="Media",'MAPA CORRUPCION'!#REF!="Mayor"),CONCATENATE("R10C",'MAPA CORRUPCION'!#REF!),"")</f>
        <v>#REF!</v>
      </c>
      <c r="AD35" s="25" t="e">
        <f>IF(AND('MAPA CORRUPCION'!#REF!="Media",'MAPA CORRUPCION'!#REF!="Mayor"),CONCATENATE("R10C",'MAPA CORRUPCION'!#REF!),"")</f>
        <v>#REF!</v>
      </c>
      <c r="AE35" s="25" t="e">
        <f>IF(AND('MAPA CORRUPCION'!#REF!="Media",'MAPA CORRUPCION'!#REF!="Mayor"),CONCATENATE("R10C",'MAPA CORRUPCION'!#REF!),"")</f>
        <v>#REF!</v>
      </c>
      <c r="AF35" s="25" t="e">
        <f>IF(AND('MAPA CORRUPCION'!#REF!="Media",'MAPA CORRUPCION'!#REF!="Mayor"),CONCATENATE("R10C",'MAPA CORRUPCION'!#REF!),"")</f>
        <v>#REF!</v>
      </c>
      <c r="AG35" s="26" t="e">
        <f>IF(AND('MAPA CORRUPCION'!#REF!="Media",'MAPA CORRUPCION'!#REF!="Mayor"),CONCATENATE("R10C",'MAPA CORRUPCION'!#REF!),"")</f>
        <v>#REF!</v>
      </c>
      <c r="AH35" s="27" t="e">
        <f>IF(AND('MAPA CORRUPCION'!#REF!="Media",'MAPA CORRUPCION'!#REF!="Catastrófico"),CONCATENATE("R10C",'MAPA CORRUPCION'!#REF!),"")</f>
        <v>#REF!</v>
      </c>
      <c r="AI35" s="28" t="e">
        <f>IF(AND('MAPA CORRUPCION'!#REF!="Media",'MAPA CORRUPCION'!#REF!="Catastrófico"),CONCATENATE("R10C",'MAPA CORRUPCION'!#REF!),"")</f>
        <v>#REF!</v>
      </c>
      <c r="AJ35" s="28" t="e">
        <f>IF(AND('MAPA CORRUPCION'!#REF!="Media",'MAPA CORRUPCION'!#REF!="Catastrófico"),CONCATENATE("R10C",'MAPA CORRUPCION'!#REF!),"")</f>
        <v>#REF!</v>
      </c>
      <c r="AK35" s="28" t="e">
        <f>IF(AND('MAPA CORRUPCION'!#REF!="Media",'MAPA CORRUPCION'!#REF!="Catastrófico"),CONCATENATE("R10C",'MAPA CORRUPCION'!#REF!),"")</f>
        <v>#REF!</v>
      </c>
      <c r="AL35" s="28" t="e">
        <f>IF(AND('MAPA CORRUPCION'!#REF!="Media",'MAPA CORRUPCION'!#REF!="Catastrófico"),CONCATENATE("R10C",'MAPA CORRUPCION'!#REF!),"")</f>
        <v>#REF!</v>
      </c>
      <c r="AM35" s="29" t="e">
        <f>IF(AND('MAPA CORRUPCION'!#REF!="Media",'MAPA CORRUPCION'!#REF!="Catastrófico"),CONCATENATE("R10C",'MAPA CORRUPCION'!#REF!),"")</f>
        <v>#REF!</v>
      </c>
      <c r="AN35" s="49"/>
      <c r="AO35" s="430"/>
      <c r="AP35" s="431"/>
      <c r="AQ35" s="431"/>
      <c r="AR35" s="431"/>
      <c r="AS35" s="431"/>
      <c r="AT35" s="432"/>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row>
    <row r="36" spans="1:80" ht="15" customHeight="1" x14ac:dyDescent="0.25">
      <c r="A36" s="49"/>
      <c r="B36" s="296"/>
      <c r="C36" s="296"/>
      <c r="D36" s="297"/>
      <c r="E36" s="393" t="s">
        <v>99</v>
      </c>
      <c r="F36" s="394"/>
      <c r="G36" s="394"/>
      <c r="H36" s="394"/>
      <c r="I36" s="394"/>
      <c r="J36" s="39" t="str">
        <f>IF(AND('MAPA CORRUPCION'!$AB$5="Baja",'MAPA CORRUPCION'!$AD$5="Leve"),CONCATENATE("R1C",'MAPA CORRUPCION'!$R$5),"")</f>
        <v>R1C1</v>
      </c>
      <c r="K36" s="40" t="e">
        <f>IF(AND('MAPA CORRUPCION'!#REF!="Baja",'MAPA CORRUPCION'!#REF!="Leve"),CONCATENATE("R1C",'MAPA CORRUPCION'!#REF!),"")</f>
        <v>#REF!</v>
      </c>
      <c r="L36" s="40" t="e">
        <f>IF(AND('MAPA CORRUPCION'!#REF!="Baja",'MAPA CORRUPCION'!#REF!="Leve"),CONCATENATE("R1C",'MAPA CORRUPCION'!#REF!),"")</f>
        <v>#REF!</v>
      </c>
      <c r="M36" s="40" t="e">
        <f>IF(AND('MAPA CORRUPCION'!#REF!="Baja",'MAPA CORRUPCION'!#REF!="Leve"),CONCATENATE("R1C",'MAPA CORRUPCION'!#REF!),"")</f>
        <v>#REF!</v>
      </c>
      <c r="N36" s="40" t="e">
        <f>IF(AND('MAPA CORRUPCION'!#REF!="Baja",'MAPA CORRUPCION'!#REF!="Leve"),CONCATENATE("R1C",'MAPA CORRUPCION'!#REF!),"")</f>
        <v>#REF!</v>
      </c>
      <c r="O36" s="41" t="e">
        <f>IF(AND('MAPA CORRUPCION'!#REF!="Baja",'MAPA CORRUPCION'!#REF!="Leve"),CONCATENATE("R1C",'MAPA CORRUPCION'!#REF!),"")</f>
        <v>#REF!</v>
      </c>
      <c r="P36" s="30" t="str">
        <f>IF(AND('MAPA CORRUPCION'!$AB$5="Baja",'MAPA CORRUPCION'!$AD$5="Menor"),CONCATENATE("R1C",'MAPA CORRUPCION'!$R$5),"")</f>
        <v/>
      </c>
      <c r="Q36" s="31" t="e">
        <f>IF(AND('MAPA CORRUPCION'!#REF!="Baja",'MAPA CORRUPCION'!#REF!="Menor"),CONCATENATE("R1C",'MAPA CORRUPCION'!#REF!),"")</f>
        <v>#REF!</v>
      </c>
      <c r="R36" s="31" t="e">
        <f>IF(AND('MAPA CORRUPCION'!#REF!="Baja",'MAPA CORRUPCION'!#REF!="Menor"),CONCATENATE("R1C",'MAPA CORRUPCION'!#REF!),"")</f>
        <v>#REF!</v>
      </c>
      <c r="S36" s="31" t="e">
        <f>IF(AND('MAPA CORRUPCION'!#REF!="Baja",'MAPA CORRUPCION'!#REF!="Menor"),CONCATENATE("R1C",'MAPA CORRUPCION'!#REF!),"")</f>
        <v>#REF!</v>
      </c>
      <c r="T36" s="31" t="e">
        <f>IF(AND('MAPA CORRUPCION'!#REF!="Baja",'MAPA CORRUPCION'!#REF!="Menor"),CONCATENATE("R1C",'MAPA CORRUPCION'!#REF!),"")</f>
        <v>#REF!</v>
      </c>
      <c r="U36" s="32" t="e">
        <f>IF(AND('MAPA CORRUPCION'!#REF!="Baja",'MAPA CORRUPCION'!#REF!="Menor"),CONCATENATE("R1C",'MAPA CORRUPCION'!#REF!),"")</f>
        <v>#REF!</v>
      </c>
      <c r="V36" s="30" t="str">
        <f>IF(AND('MAPA CORRUPCION'!$AB$5="Baja",'MAPA CORRUPCION'!$AD$5="Moderado"),CONCATENATE("R1C",'MAPA CORRUPCION'!$R$5),"")</f>
        <v/>
      </c>
      <c r="W36" s="31" t="e">
        <f>IF(AND('MAPA CORRUPCION'!#REF!="Baja",'MAPA CORRUPCION'!#REF!="Moderado"),CONCATENATE("R1C",'MAPA CORRUPCION'!#REF!),"")</f>
        <v>#REF!</v>
      </c>
      <c r="X36" s="31" t="e">
        <f>IF(AND('MAPA CORRUPCION'!#REF!="Baja",'MAPA CORRUPCION'!#REF!="Moderado"),CONCATENATE("R1C",'MAPA CORRUPCION'!#REF!),"")</f>
        <v>#REF!</v>
      </c>
      <c r="Y36" s="31" t="e">
        <f>IF(AND('MAPA CORRUPCION'!#REF!="Baja",'MAPA CORRUPCION'!#REF!="Moderado"),CONCATENATE("R1C",'MAPA CORRUPCION'!#REF!),"")</f>
        <v>#REF!</v>
      </c>
      <c r="Z36" s="31" t="e">
        <f>IF(AND('MAPA CORRUPCION'!#REF!="Baja",'MAPA CORRUPCION'!#REF!="Moderado"),CONCATENATE("R1C",'MAPA CORRUPCION'!#REF!),"")</f>
        <v>#REF!</v>
      </c>
      <c r="AA36" s="32" t="e">
        <f>IF(AND('MAPA CORRUPCION'!#REF!="Baja",'MAPA CORRUPCION'!#REF!="Moderado"),CONCATENATE("R1C",'MAPA CORRUPCION'!#REF!),"")</f>
        <v>#REF!</v>
      </c>
      <c r="AB36" s="11" t="str">
        <f>IF(AND('MAPA CORRUPCION'!$AB$5="Baja",'MAPA CORRUPCION'!$AD$5="Mayor"),CONCATENATE("R1C",'MAPA CORRUPCION'!$R$5),"")</f>
        <v/>
      </c>
      <c r="AC36" s="12" t="e">
        <f>IF(AND('MAPA CORRUPCION'!#REF!="Baja",'MAPA CORRUPCION'!#REF!="Mayor"),CONCATENATE("R1C",'MAPA CORRUPCION'!#REF!),"")</f>
        <v>#REF!</v>
      </c>
      <c r="AD36" s="12" t="e">
        <f>IF(AND('MAPA CORRUPCION'!#REF!="Baja",'MAPA CORRUPCION'!#REF!="Mayor"),CONCATENATE("R1C",'MAPA CORRUPCION'!#REF!),"")</f>
        <v>#REF!</v>
      </c>
      <c r="AE36" s="12" t="e">
        <f>IF(AND('MAPA CORRUPCION'!#REF!="Baja",'MAPA CORRUPCION'!#REF!="Mayor"),CONCATENATE("R1C",'MAPA CORRUPCION'!#REF!),"")</f>
        <v>#REF!</v>
      </c>
      <c r="AF36" s="12" t="e">
        <f>IF(AND('MAPA CORRUPCION'!#REF!="Baja",'MAPA CORRUPCION'!#REF!="Mayor"),CONCATENATE("R1C",'MAPA CORRUPCION'!#REF!),"")</f>
        <v>#REF!</v>
      </c>
      <c r="AG36" s="13" t="e">
        <f>IF(AND('MAPA CORRUPCION'!#REF!="Baja",'MAPA CORRUPCION'!#REF!="Mayor"),CONCATENATE("R1C",'MAPA CORRUPCION'!#REF!),"")</f>
        <v>#REF!</v>
      </c>
      <c r="AH36" s="14" t="str">
        <f>IF(AND('MAPA CORRUPCION'!$AB$5="Baja",'MAPA CORRUPCION'!$AD$5="Catastrófico"),CONCATENATE("R1C",'MAPA CORRUPCION'!$R$5),"")</f>
        <v/>
      </c>
      <c r="AI36" s="15" t="e">
        <f>IF(AND('MAPA CORRUPCION'!#REF!="Baja",'MAPA CORRUPCION'!#REF!="Catastrófico"),CONCATENATE("R1C",'MAPA CORRUPCION'!#REF!),"")</f>
        <v>#REF!</v>
      </c>
      <c r="AJ36" s="15" t="e">
        <f>IF(AND('MAPA CORRUPCION'!#REF!="Baja",'MAPA CORRUPCION'!#REF!="Catastrófico"),CONCATENATE("R1C",'MAPA CORRUPCION'!#REF!),"")</f>
        <v>#REF!</v>
      </c>
      <c r="AK36" s="15" t="e">
        <f>IF(AND('MAPA CORRUPCION'!#REF!="Baja",'MAPA CORRUPCION'!#REF!="Catastrófico"),CONCATENATE("R1C",'MAPA CORRUPCION'!#REF!),"")</f>
        <v>#REF!</v>
      </c>
      <c r="AL36" s="15" t="e">
        <f>IF(AND('MAPA CORRUPCION'!#REF!="Baja",'MAPA CORRUPCION'!#REF!="Catastrófico"),CONCATENATE("R1C",'MAPA CORRUPCION'!#REF!),"")</f>
        <v>#REF!</v>
      </c>
      <c r="AM36" s="16" t="e">
        <f>IF(AND('MAPA CORRUPCION'!#REF!="Baja",'MAPA CORRUPCION'!#REF!="Catastrófico"),CONCATENATE("R1C",'MAPA CORRUPCION'!#REF!),"")</f>
        <v>#REF!</v>
      </c>
      <c r="AN36" s="49"/>
      <c r="AO36" s="415" t="s">
        <v>71</v>
      </c>
      <c r="AP36" s="416"/>
      <c r="AQ36" s="416"/>
      <c r="AR36" s="416"/>
      <c r="AS36" s="416"/>
      <c r="AT36" s="417"/>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row>
    <row r="37" spans="1:80" ht="15" customHeight="1" x14ac:dyDescent="0.25">
      <c r="A37" s="49"/>
      <c r="B37" s="296"/>
      <c r="C37" s="296"/>
      <c r="D37" s="297"/>
      <c r="E37" s="395"/>
      <c r="F37" s="396"/>
      <c r="G37" s="396"/>
      <c r="H37" s="396"/>
      <c r="I37" s="396"/>
      <c r="J37" s="42" t="str">
        <f>IF(AND('MAPA CORRUPCION'!$AB$6="Baja",'MAPA CORRUPCION'!$AD$6="Leve"),CONCATENATE("R2C",'MAPA CORRUPCION'!$R$6),"")</f>
        <v/>
      </c>
      <c r="K37" s="43" t="str">
        <f>IF(AND('MAPA CORRUPCION'!$AB$7="Baja",'MAPA CORRUPCION'!$AD$7="Leve"),CONCATENATE("R2C",'MAPA CORRUPCION'!$R$7),"")</f>
        <v/>
      </c>
      <c r="L37" s="43" t="str">
        <f>IF(AND('MAPA CORRUPCION'!$AB$8="Baja",'MAPA CORRUPCION'!$AD$8="Leve"),CONCATENATE("R2C",'MAPA CORRUPCION'!$R$8),"")</f>
        <v/>
      </c>
      <c r="M37" s="43" t="str">
        <f>IF(AND('MAPA CORRUPCION'!$AB$9="Baja",'MAPA CORRUPCION'!$AD$9="Leve"),CONCATENATE("R2C",'MAPA CORRUPCION'!$R$9),"")</f>
        <v/>
      </c>
      <c r="N37" s="43" t="e">
        <f>IF(AND('MAPA CORRUPCION'!#REF!="Baja",'MAPA CORRUPCION'!#REF!="Leve"),CONCATENATE("R2C",'MAPA CORRUPCION'!#REF!),"")</f>
        <v>#REF!</v>
      </c>
      <c r="O37" s="44" t="e">
        <f>IF(AND('MAPA CORRUPCION'!#REF!="Baja",'MAPA CORRUPCION'!#REF!="Leve"),CONCATENATE("R2C",'MAPA CORRUPCION'!#REF!),"")</f>
        <v>#REF!</v>
      </c>
      <c r="P37" s="33" t="str">
        <f>IF(AND('MAPA CORRUPCION'!$AB$6="Baja",'MAPA CORRUPCION'!$AD$6="Menor"),CONCATENATE("R2C",'MAPA CORRUPCION'!$R$6),"")</f>
        <v/>
      </c>
      <c r="Q37" s="34" t="str">
        <f>IF(AND('MAPA CORRUPCION'!$AB$7="Baja",'MAPA CORRUPCION'!$AD$7="Menor"),CONCATENATE("R2C",'MAPA CORRUPCION'!$R$7),"")</f>
        <v/>
      </c>
      <c r="R37" s="34" t="str">
        <f>IF(AND('MAPA CORRUPCION'!$AB$8="Baja",'MAPA CORRUPCION'!$AD$8="Menor"),CONCATENATE("R2C",'MAPA CORRUPCION'!$R$8),"")</f>
        <v/>
      </c>
      <c r="S37" s="34" t="str">
        <f>IF(AND('MAPA CORRUPCION'!$AB$9="Baja",'MAPA CORRUPCION'!$AD$9="Menor"),CONCATENATE("R2C",'MAPA CORRUPCION'!$R$9),"")</f>
        <v/>
      </c>
      <c r="T37" s="34" t="e">
        <f>IF(AND('MAPA CORRUPCION'!#REF!="Baja",'MAPA CORRUPCION'!#REF!="Menor"),CONCATENATE("R2C",'MAPA CORRUPCION'!#REF!),"")</f>
        <v>#REF!</v>
      </c>
      <c r="U37" s="35" t="e">
        <f>IF(AND('MAPA CORRUPCION'!#REF!="Baja",'MAPA CORRUPCION'!#REF!="Menor"),CONCATENATE("R2C",'MAPA CORRUPCION'!#REF!),"")</f>
        <v>#REF!</v>
      </c>
      <c r="V37" s="33" t="str">
        <f>IF(AND('MAPA CORRUPCION'!$AB$6="Baja",'MAPA CORRUPCION'!$AD$6="Moderado"),CONCATENATE("R2C",'MAPA CORRUPCION'!$R$6),"")</f>
        <v/>
      </c>
      <c r="W37" s="34" t="str">
        <f>IF(AND('MAPA CORRUPCION'!$AB$7="Baja",'MAPA CORRUPCION'!$AD$7="Moderado"),CONCATENATE("R2C",'MAPA CORRUPCION'!$R$7),"")</f>
        <v/>
      </c>
      <c r="X37" s="34" t="str">
        <f>IF(AND('MAPA CORRUPCION'!$AB$8="Baja",'MAPA CORRUPCION'!$AD$8="Moderado"),CONCATENATE("R2C",'MAPA CORRUPCION'!$R$8),"")</f>
        <v/>
      </c>
      <c r="Y37" s="34" t="str">
        <f>IF(AND('MAPA CORRUPCION'!$AB$9="Baja",'MAPA CORRUPCION'!$AD$9="Moderado"),CONCATENATE("R2C",'MAPA CORRUPCION'!$R$9),"")</f>
        <v/>
      </c>
      <c r="Z37" s="34" t="e">
        <f>IF(AND('MAPA CORRUPCION'!#REF!="Baja",'MAPA CORRUPCION'!#REF!="Moderado"),CONCATENATE("R2C",'MAPA CORRUPCION'!#REF!),"")</f>
        <v>#REF!</v>
      </c>
      <c r="AA37" s="35" t="e">
        <f>IF(AND('MAPA CORRUPCION'!#REF!="Baja",'MAPA CORRUPCION'!#REF!="Moderado"),CONCATENATE("R2C",'MAPA CORRUPCION'!#REF!),"")</f>
        <v>#REF!</v>
      </c>
      <c r="AB37" s="17" t="str">
        <f>IF(AND('MAPA CORRUPCION'!$AB$6="Baja",'MAPA CORRUPCION'!$AD$6="Mayor"),CONCATENATE("R2C",'MAPA CORRUPCION'!$R$6),"")</f>
        <v>R2C1</v>
      </c>
      <c r="AC37" s="18" t="str">
        <f>IF(AND('MAPA CORRUPCION'!$AB$7="Baja",'MAPA CORRUPCION'!$AD$7="Mayor"),CONCATENATE("R2C",'MAPA CORRUPCION'!$R$7),"")</f>
        <v/>
      </c>
      <c r="AD37" s="18" t="str">
        <f>IF(AND('MAPA CORRUPCION'!$AB$8="Baja",'MAPA CORRUPCION'!$AD$8="Mayor"),CONCATENATE("R2C",'MAPA CORRUPCION'!$R$8),"")</f>
        <v/>
      </c>
      <c r="AE37" s="18" t="str">
        <f>IF(AND('MAPA CORRUPCION'!$AB$9="Baja",'MAPA CORRUPCION'!$AD$9="Mayor"),CONCATENATE("R2C",'MAPA CORRUPCION'!$R$9),"")</f>
        <v/>
      </c>
      <c r="AF37" s="18" t="e">
        <f>IF(AND('MAPA CORRUPCION'!#REF!="Baja",'MAPA CORRUPCION'!#REF!="Mayor"),CONCATENATE("R2C",'MAPA CORRUPCION'!#REF!),"")</f>
        <v>#REF!</v>
      </c>
      <c r="AG37" s="19" t="e">
        <f>IF(AND('MAPA CORRUPCION'!#REF!="Baja",'MAPA CORRUPCION'!#REF!="Mayor"),CONCATENATE("R2C",'MAPA CORRUPCION'!#REF!),"")</f>
        <v>#REF!</v>
      </c>
      <c r="AH37" s="20" t="str">
        <f>IF(AND('MAPA CORRUPCION'!$AB$6="Baja",'MAPA CORRUPCION'!$AD$6="Catastrófico"),CONCATENATE("R2C",'MAPA CORRUPCION'!$R$6),"")</f>
        <v/>
      </c>
      <c r="AI37" s="21" t="str">
        <f>IF(AND('MAPA CORRUPCION'!$AB$7="Baja",'MAPA CORRUPCION'!$AD$7="Catastrófico"),CONCATENATE("R2C",'MAPA CORRUPCION'!$R$7),"")</f>
        <v/>
      </c>
      <c r="AJ37" s="21" t="str">
        <f>IF(AND('MAPA CORRUPCION'!$AB$8="Baja",'MAPA CORRUPCION'!$AD$8="Catastrófico"),CONCATENATE("R2C",'MAPA CORRUPCION'!$R$8),"")</f>
        <v/>
      </c>
      <c r="AK37" s="21" t="str">
        <f>IF(AND('MAPA CORRUPCION'!$AB$9="Baja",'MAPA CORRUPCION'!$AD$9="Catastrófico"),CONCATENATE("R2C",'MAPA CORRUPCION'!$R$9),"")</f>
        <v/>
      </c>
      <c r="AL37" s="21" t="e">
        <f>IF(AND('MAPA CORRUPCION'!#REF!="Baja",'MAPA CORRUPCION'!#REF!="Catastrófico"),CONCATENATE("R2C",'MAPA CORRUPCION'!#REF!),"")</f>
        <v>#REF!</v>
      </c>
      <c r="AM37" s="22" t="e">
        <f>IF(AND('MAPA CORRUPCION'!#REF!="Baja",'MAPA CORRUPCION'!#REF!="Catastrófico"),CONCATENATE("R2C",'MAPA CORRUPCION'!#REF!),"")</f>
        <v>#REF!</v>
      </c>
      <c r="AN37" s="49"/>
      <c r="AO37" s="418"/>
      <c r="AP37" s="419"/>
      <c r="AQ37" s="419"/>
      <c r="AR37" s="419"/>
      <c r="AS37" s="419"/>
      <c r="AT37" s="420"/>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row>
    <row r="38" spans="1:80" ht="15" customHeight="1" x14ac:dyDescent="0.25">
      <c r="A38" s="49"/>
      <c r="B38" s="296"/>
      <c r="C38" s="296"/>
      <c r="D38" s="297"/>
      <c r="E38" s="397"/>
      <c r="F38" s="398"/>
      <c r="G38" s="398"/>
      <c r="H38" s="398"/>
      <c r="I38" s="396"/>
      <c r="J38" s="42" t="str">
        <f>IF(AND('MAPA CORRUPCION'!$AB$10="Baja",'MAPA CORRUPCION'!$AD$10="Leve"),CONCATENATE("R3C",'MAPA CORRUPCION'!$R$10),"")</f>
        <v/>
      </c>
      <c r="K38" s="43" t="str">
        <f>IF(AND('MAPA CORRUPCION'!$AB$11="Baja",'MAPA CORRUPCION'!$AD$11="Leve"),CONCATENATE("R3C",'MAPA CORRUPCION'!$R$11),"")</f>
        <v/>
      </c>
      <c r="L38" s="43" t="str">
        <f>IF(AND('MAPA CORRUPCION'!$AB$12="Baja",'MAPA CORRUPCION'!$AD$12="Leve"),CONCATENATE("R3C",'MAPA CORRUPCION'!$R$12),"")</f>
        <v/>
      </c>
      <c r="M38" s="43" t="str">
        <f ca="1">IF(AND('MAPA CORRUPCION'!$AB$13="Baja",'MAPA CORRUPCION'!$AD$13="Leve"),CONCATENATE("R3C",'MAPA CORRUPCION'!$R$13),"")</f>
        <v/>
      </c>
      <c r="N38" s="43" t="str">
        <f>IF(AND('MAPA CORRUPCION'!$AB$14="Baja",'MAPA CORRUPCION'!$AD$14="Leve"),CONCATENATE("R3C",'MAPA CORRUPCION'!$R$14),"")</f>
        <v/>
      </c>
      <c r="O38" s="44" t="str">
        <f>IF(AND('MAPA CORRUPCION'!$AB$15="Baja",'MAPA CORRUPCION'!$AD$15="Leve"),CONCATENATE("R3C",'MAPA CORRUPCION'!$R$15),"")</f>
        <v/>
      </c>
      <c r="P38" s="33" t="str">
        <f>IF(AND('MAPA CORRUPCION'!$AB$10="Baja",'MAPA CORRUPCION'!$AD$10="Menor"),CONCATENATE("R3C",'MAPA CORRUPCION'!$R$10),"")</f>
        <v/>
      </c>
      <c r="Q38" s="34" t="str">
        <f>IF(AND('MAPA CORRUPCION'!$AB$11="Baja",'MAPA CORRUPCION'!$AD$11="Menor"),CONCATENATE("R3C",'MAPA CORRUPCION'!$R$11),"")</f>
        <v/>
      </c>
      <c r="R38" s="34" t="str">
        <f>IF(AND('MAPA CORRUPCION'!$AB$12="Baja",'MAPA CORRUPCION'!$AD$12="Menor"),CONCATENATE("R3C",'MAPA CORRUPCION'!$R$12),"")</f>
        <v/>
      </c>
      <c r="S38" s="34" t="str">
        <f ca="1">IF(AND('MAPA CORRUPCION'!$AB$13="Baja",'MAPA CORRUPCION'!$AD$13="Menor"),CONCATENATE("R3C",'MAPA CORRUPCION'!$R$13),"")</f>
        <v/>
      </c>
      <c r="T38" s="34" t="str">
        <f>IF(AND('MAPA CORRUPCION'!$AB$14="Baja",'MAPA CORRUPCION'!$AD$14="Menor"),CONCATENATE("R3C",'MAPA CORRUPCION'!$R$14),"")</f>
        <v/>
      </c>
      <c r="U38" s="35" t="str">
        <f>IF(AND('MAPA CORRUPCION'!$AB$15="Baja",'MAPA CORRUPCION'!$AD$15="Menor"),CONCATENATE("R3C",'MAPA CORRUPCION'!$R$15),"")</f>
        <v/>
      </c>
      <c r="V38" s="33" t="str">
        <f>IF(AND('MAPA CORRUPCION'!$AB$10="Baja",'MAPA CORRUPCION'!$AD$10="Moderado"),CONCATENATE("R3C",'MAPA CORRUPCION'!$R$10),"")</f>
        <v>R3C1</v>
      </c>
      <c r="W38" s="34" t="str">
        <f>IF(AND('MAPA CORRUPCION'!$AB$11="Baja",'MAPA CORRUPCION'!$AD$11="Moderado"),CONCATENATE("R3C",'MAPA CORRUPCION'!$R$11),"")</f>
        <v>R3C2</v>
      </c>
      <c r="X38" s="34" t="str">
        <f>IF(AND('MAPA CORRUPCION'!$AB$12="Baja",'MAPA CORRUPCION'!$AD$12="Moderado"),CONCATENATE("R3C",'MAPA CORRUPCION'!$R$12),"")</f>
        <v/>
      </c>
      <c r="Y38" s="34" t="str">
        <f ca="1">IF(AND('MAPA CORRUPCION'!$AB$13="Baja",'MAPA CORRUPCION'!$AD$13="Moderado"),CONCATENATE("R3C",'MAPA CORRUPCION'!$R$13),"")</f>
        <v>R3C1</v>
      </c>
      <c r="Z38" s="34" t="str">
        <f>IF(AND('MAPA CORRUPCION'!$AB$14="Baja",'MAPA CORRUPCION'!$AD$14="Moderado"),CONCATENATE("R3C",'MAPA CORRUPCION'!$R$14),"")</f>
        <v>R3C1</v>
      </c>
      <c r="AA38" s="35" t="str">
        <f>IF(AND('MAPA CORRUPCION'!$AB$15="Baja",'MAPA CORRUPCION'!$AD$15="Moderado"),CONCATENATE("R3C",'MAPA CORRUPCION'!$R$15),"")</f>
        <v>R3C2</v>
      </c>
      <c r="AB38" s="17" t="str">
        <f>IF(AND('MAPA CORRUPCION'!$AB$10="Baja",'MAPA CORRUPCION'!$AD$10="Mayor"),CONCATENATE("R3C",'MAPA CORRUPCION'!$R$10),"")</f>
        <v/>
      </c>
      <c r="AC38" s="18" t="str">
        <f>IF(AND('MAPA CORRUPCION'!$AB$11="Baja",'MAPA CORRUPCION'!$AD$11="Mayor"),CONCATENATE("R3C",'MAPA CORRUPCION'!$R$11),"")</f>
        <v/>
      </c>
      <c r="AD38" s="18" t="str">
        <f>IF(AND('MAPA CORRUPCION'!$AB$12="Baja",'MAPA CORRUPCION'!$AD$12="Mayor"),CONCATENATE("R3C",'MAPA CORRUPCION'!$R$12),"")</f>
        <v/>
      </c>
      <c r="AE38" s="18" t="str">
        <f ca="1">IF(AND('MAPA CORRUPCION'!$AB$13="Baja",'MAPA CORRUPCION'!$AD$13="Mayor"),CONCATENATE("R3C",'MAPA CORRUPCION'!$R$13),"")</f>
        <v/>
      </c>
      <c r="AF38" s="18" t="str">
        <f>IF(AND('MAPA CORRUPCION'!$AB$14="Baja",'MAPA CORRUPCION'!$AD$14="Mayor"),CONCATENATE("R3C",'MAPA CORRUPCION'!$R$14),"")</f>
        <v/>
      </c>
      <c r="AG38" s="19" t="str">
        <f>IF(AND('MAPA CORRUPCION'!$AB$15="Baja",'MAPA CORRUPCION'!$AD$15="Mayor"),CONCATENATE("R3C",'MAPA CORRUPCION'!$R$15),"")</f>
        <v/>
      </c>
      <c r="AH38" s="20" t="str">
        <f>IF(AND('MAPA CORRUPCION'!$AB$10="Baja",'MAPA CORRUPCION'!$AD$10="Catastrófico"),CONCATENATE("R3C",'MAPA CORRUPCION'!$R$10),"")</f>
        <v/>
      </c>
      <c r="AI38" s="21" t="str">
        <f>IF(AND('MAPA CORRUPCION'!$AB$11="Baja",'MAPA CORRUPCION'!$AD$11="Catastrófico"),CONCATENATE("R3C",'MAPA CORRUPCION'!$R$11),"")</f>
        <v/>
      </c>
      <c r="AJ38" s="21" t="str">
        <f>IF(AND('MAPA CORRUPCION'!$AB$12="Baja",'MAPA CORRUPCION'!$AD$12="Catastrófico"),CONCATENATE("R3C",'MAPA CORRUPCION'!$R$12),"")</f>
        <v/>
      </c>
      <c r="AK38" s="21" t="str">
        <f ca="1">IF(AND('MAPA CORRUPCION'!$AB$13="Baja",'MAPA CORRUPCION'!$AD$13="Catastrófico"),CONCATENATE("R3C",'MAPA CORRUPCION'!$R$13),"")</f>
        <v/>
      </c>
      <c r="AL38" s="21" t="str">
        <f>IF(AND('MAPA CORRUPCION'!$AB$14="Baja",'MAPA CORRUPCION'!$AD$14="Catastrófico"),CONCATENATE("R3C",'MAPA CORRUPCION'!$R$14),"")</f>
        <v/>
      </c>
      <c r="AM38" s="22" t="str">
        <f>IF(AND('MAPA CORRUPCION'!$AB$15="Baja",'MAPA CORRUPCION'!$AD$15="Catastrófico"),CONCATENATE("R3C",'MAPA CORRUPCION'!$R$15),"")</f>
        <v/>
      </c>
      <c r="AN38" s="49"/>
      <c r="AO38" s="418"/>
      <c r="AP38" s="419"/>
      <c r="AQ38" s="419"/>
      <c r="AR38" s="419"/>
      <c r="AS38" s="419"/>
      <c r="AT38" s="420"/>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row>
    <row r="39" spans="1:80" ht="15" customHeight="1" x14ac:dyDescent="0.25">
      <c r="A39" s="49"/>
      <c r="B39" s="296"/>
      <c r="C39" s="296"/>
      <c r="D39" s="297"/>
      <c r="E39" s="397"/>
      <c r="F39" s="398"/>
      <c r="G39" s="398"/>
      <c r="H39" s="398"/>
      <c r="I39" s="396"/>
      <c r="J39" s="42" t="str">
        <f>IF(AND('MAPA CORRUPCION'!$AB$16="Baja",'MAPA CORRUPCION'!$AD$16="Leve"),CONCATENATE("R4C",'MAPA CORRUPCION'!$R$16),"")</f>
        <v/>
      </c>
      <c r="K39" s="43" t="str">
        <f>IF(AND('MAPA CORRUPCION'!$AB$17="Baja",'MAPA CORRUPCION'!$AD$17="Leve"),CONCATENATE("R4C",'MAPA CORRUPCION'!$R$17),"")</f>
        <v>R4C2</v>
      </c>
      <c r="L39" s="43" t="e">
        <f>IF(AND('MAPA CORRUPCION'!#REF!="Baja",'MAPA CORRUPCION'!#REF!="Leve"),CONCATENATE("R4C",'MAPA CORRUPCION'!#REF!),"")</f>
        <v>#REF!</v>
      </c>
      <c r="M39" s="43" t="e">
        <f>IF(AND('MAPA CORRUPCION'!#REF!="Baja",'MAPA CORRUPCION'!#REF!="Leve"),CONCATENATE("R4C",'MAPA CORRUPCION'!#REF!),"")</f>
        <v>#REF!</v>
      </c>
      <c r="N39" s="43" t="e">
        <f>IF(AND('MAPA CORRUPCION'!#REF!="Baja",'MAPA CORRUPCION'!#REF!="Leve"),CONCATENATE("R4C",'MAPA CORRUPCION'!#REF!),"")</f>
        <v>#REF!</v>
      </c>
      <c r="O39" s="44" t="e">
        <f>IF(AND('MAPA CORRUPCION'!#REF!="Baja",'MAPA CORRUPCION'!#REF!="Leve"),CONCATENATE("R4C",'MAPA CORRUPCION'!#REF!),"")</f>
        <v>#REF!</v>
      </c>
      <c r="P39" s="33" t="str">
        <f>IF(AND('MAPA CORRUPCION'!$AB$16="Baja",'MAPA CORRUPCION'!$AD$16="Menor"),CONCATENATE("R4C",'MAPA CORRUPCION'!$R$16),"")</f>
        <v/>
      </c>
      <c r="Q39" s="34" t="str">
        <f>IF(AND('MAPA CORRUPCION'!$AB$17="Baja",'MAPA CORRUPCION'!$AD$17="Menor"),CONCATENATE("R4C",'MAPA CORRUPCION'!$R$17),"")</f>
        <v/>
      </c>
      <c r="R39" s="34" t="e">
        <f>IF(AND('MAPA CORRUPCION'!#REF!="Baja",'MAPA CORRUPCION'!#REF!="Menor"),CONCATENATE("R4C",'MAPA CORRUPCION'!#REF!),"")</f>
        <v>#REF!</v>
      </c>
      <c r="S39" s="34" t="e">
        <f>IF(AND('MAPA CORRUPCION'!#REF!="Baja",'MAPA CORRUPCION'!#REF!="Menor"),CONCATENATE("R4C",'MAPA CORRUPCION'!#REF!),"")</f>
        <v>#REF!</v>
      </c>
      <c r="T39" s="34" t="e">
        <f>IF(AND('MAPA CORRUPCION'!#REF!="Baja",'MAPA CORRUPCION'!#REF!="Menor"),CONCATENATE("R4C",'MAPA CORRUPCION'!#REF!),"")</f>
        <v>#REF!</v>
      </c>
      <c r="U39" s="35" t="e">
        <f>IF(AND('MAPA CORRUPCION'!#REF!="Baja",'MAPA CORRUPCION'!#REF!="Menor"),CONCATENATE("R4C",'MAPA CORRUPCION'!#REF!),"")</f>
        <v>#REF!</v>
      </c>
      <c r="V39" s="33" t="str">
        <f>IF(AND('MAPA CORRUPCION'!$AB$16="Baja",'MAPA CORRUPCION'!$AD$16="Moderado"),CONCATENATE("R4C",'MAPA CORRUPCION'!$R$16),"")</f>
        <v>R4C1</v>
      </c>
      <c r="W39" s="34" t="str">
        <f>IF(AND('MAPA CORRUPCION'!$AB$17="Baja",'MAPA CORRUPCION'!$AD$17="Moderado"),CONCATENATE("R4C",'MAPA CORRUPCION'!$R$17),"")</f>
        <v/>
      </c>
      <c r="X39" s="34" t="e">
        <f>IF(AND('MAPA CORRUPCION'!#REF!="Baja",'MAPA CORRUPCION'!#REF!="Moderado"),CONCATENATE("R4C",'MAPA CORRUPCION'!#REF!),"")</f>
        <v>#REF!</v>
      </c>
      <c r="Y39" s="34" t="e">
        <f>IF(AND('MAPA CORRUPCION'!#REF!="Baja",'MAPA CORRUPCION'!#REF!="Moderado"),CONCATENATE("R4C",'MAPA CORRUPCION'!#REF!),"")</f>
        <v>#REF!</v>
      </c>
      <c r="Z39" s="34" t="e">
        <f>IF(AND('MAPA CORRUPCION'!#REF!="Baja",'MAPA CORRUPCION'!#REF!="Moderado"),CONCATENATE("R4C",'MAPA CORRUPCION'!#REF!),"")</f>
        <v>#REF!</v>
      </c>
      <c r="AA39" s="35" t="e">
        <f>IF(AND('MAPA CORRUPCION'!#REF!="Baja",'MAPA CORRUPCION'!#REF!="Moderado"),CONCATENATE("R4C",'MAPA CORRUPCION'!#REF!),"")</f>
        <v>#REF!</v>
      </c>
      <c r="AB39" s="17" t="str">
        <f>IF(AND('MAPA CORRUPCION'!$AB$16="Baja",'MAPA CORRUPCION'!$AD$16="Mayor"),CONCATENATE("R4C",'MAPA CORRUPCION'!$R$16),"")</f>
        <v/>
      </c>
      <c r="AC39" s="18" t="str">
        <f>IF(AND('MAPA CORRUPCION'!$AB$17="Baja",'MAPA CORRUPCION'!$AD$17="Mayor"),CONCATENATE("R4C",'MAPA CORRUPCION'!$R$17),"")</f>
        <v/>
      </c>
      <c r="AD39" s="18" t="e">
        <f>IF(AND('MAPA CORRUPCION'!#REF!="Baja",'MAPA CORRUPCION'!#REF!="Mayor"),CONCATENATE("R4C",'MAPA CORRUPCION'!#REF!),"")</f>
        <v>#REF!</v>
      </c>
      <c r="AE39" s="18" t="e">
        <f>IF(AND('MAPA CORRUPCION'!#REF!="Baja",'MAPA CORRUPCION'!#REF!="Mayor"),CONCATENATE("R4C",'MAPA CORRUPCION'!#REF!),"")</f>
        <v>#REF!</v>
      </c>
      <c r="AF39" s="18" t="e">
        <f>IF(AND('MAPA CORRUPCION'!#REF!="Baja",'MAPA CORRUPCION'!#REF!="Mayor"),CONCATENATE("R4C",'MAPA CORRUPCION'!#REF!),"")</f>
        <v>#REF!</v>
      </c>
      <c r="AG39" s="19" t="e">
        <f>IF(AND('MAPA CORRUPCION'!#REF!="Baja",'MAPA CORRUPCION'!#REF!="Mayor"),CONCATENATE("R4C",'MAPA CORRUPCION'!#REF!),"")</f>
        <v>#REF!</v>
      </c>
      <c r="AH39" s="20" t="str">
        <f>IF(AND('MAPA CORRUPCION'!$AB$16="Baja",'MAPA CORRUPCION'!$AD$16="Catastrófico"),CONCATENATE("R4C",'MAPA CORRUPCION'!$R$16),"")</f>
        <v/>
      </c>
      <c r="AI39" s="21" t="str">
        <f>IF(AND('MAPA CORRUPCION'!$AB$17="Baja",'MAPA CORRUPCION'!$AD$17="Catastrófico"),CONCATENATE("R4C",'MAPA CORRUPCION'!$R$17),"")</f>
        <v/>
      </c>
      <c r="AJ39" s="21" t="e">
        <f>IF(AND('MAPA CORRUPCION'!#REF!="Baja",'MAPA CORRUPCION'!#REF!="Catastrófico"),CONCATENATE("R4C",'MAPA CORRUPCION'!#REF!),"")</f>
        <v>#REF!</v>
      </c>
      <c r="AK39" s="21" t="e">
        <f>IF(AND('MAPA CORRUPCION'!#REF!="Baja",'MAPA CORRUPCION'!#REF!="Catastrófico"),CONCATENATE("R4C",'MAPA CORRUPCION'!#REF!),"")</f>
        <v>#REF!</v>
      </c>
      <c r="AL39" s="21" t="e">
        <f>IF(AND('MAPA CORRUPCION'!#REF!="Baja",'MAPA CORRUPCION'!#REF!="Catastrófico"),CONCATENATE("R4C",'MAPA CORRUPCION'!#REF!),"")</f>
        <v>#REF!</v>
      </c>
      <c r="AM39" s="22" t="e">
        <f>IF(AND('MAPA CORRUPCION'!#REF!="Baja",'MAPA CORRUPCION'!#REF!="Catastrófico"),CONCATENATE("R4C",'MAPA CORRUPCION'!#REF!),"")</f>
        <v>#REF!</v>
      </c>
      <c r="AN39" s="49"/>
      <c r="AO39" s="418"/>
      <c r="AP39" s="419"/>
      <c r="AQ39" s="419"/>
      <c r="AR39" s="419"/>
      <c r="AS39" s="419"/>
      <c r="AT39" s="420"/>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row>
    <row r="40" spans="1:80" ht="15" customHeight="1" x14ac:dyDescent="0.25">
      <c r="A40" s="49"/>
      <c r="B40" s="296"/>
      <c r="C40" s="296"/>
      <c r="D40" s="297"/>
      <c r="E40" s="397"/>
      <c r="F40" s="398"/>
      <c r="G40" s="398"/>
      <c r="H40" s="398"/>
      <c r="I40" s="396"/>
      <c r="J40" s="42" t="str">
        <f ca="1">IF(AND('MAPA CORRUPCION'!$AB$18="Baja",'MAPA CORRUPCION'!$AD$18="Leve"),CONCATENATE("R5C",'MAPA CORRUPCION'!$R$18),"")</f>
        <v/>
      </c>
      <c r="K40" s="43" t="e">
        <f>IF(AND('MAPA CORRUPCION'!#REF!="Baja",'MAPA CORRUPCION'!#REF!="Leve"),CONCATENATE("R5C",'MAPA CORRUPCION'!#REF!),"")</f>
        <v>#REF!</v>
      </c>
      <c r="L40" s="43" t="e">
        <f>IF(AND('MAPA CORRUPCION'!#REF!="Baja",'MAPA CORRUPCION'!#REF!="Leve"),CONCATENATE("R5C",'MAPA CORRUPCION'!#REF!),"")</f>
        <v>#REF!</v>
      </c>
      <c r="M40" s="43" t="e">
        <f>IF(AND('MAPA CORRUPCION'!#REF!="Baja",'MAPA CORRUPCION'!#REF!="Leve"),CONCATENATE("R5C",'MAPA CORRUPCION'!#REF!),"")</f>
        <v>#REF!</v>
      </c>
      <c r="N40" s="43" t="e">
        <f>IF(AND('MAPA CORRUPCION'!#REF!="Baja",'MAPA CORRUPCION'!#REF!="Leve"),CONCATENATE("R5C",'MAPA CORRUPCION'!#REF!),"")</f>
        <v>#REF!</v>
      </c>
      <c r="O40" s="44" t="e">
        <f>IF(AND('MAPA CORRUPCION'!#REF!="Baja",'MAPA CORRUPCION'!#REF!="Leve"),CONCATENATE("R5C",'MAPA CORRUPCION'!#REF!),"")</f>
        <v>#REF!</v>
      </c>
      <c r="P40" s="33" t="str">
        <f ca="1">IF(AND('MAPA CORRUPCION'!$AB$18="Baja",'MAPA CORRUPCION'!$AD$18="Menor"),CONCATENATE("R5C",'MAPA CORRUPCION'!$R$18),"")</f>
        <v/>
      </c>
      <c r="Q40" s="34" t="e">
        <f>IF(AND('MAPA CORRUPCION'!#REF!="Baja",'MAPA CORRUPCION'!#REF!="Menor"),CONCATENATE("R5C",'MAPA CORRUPCION'!#REF!),"")</f>
        <v>#REF!</v>
      </c>
      <c r="R40" s="34" t="e">
        <f>IF(AND('MAPA CORRUPCION'!#REF!="Baja",'MAPA CORRUPCION'!#REF!="Menor"),CONCATENATE("R5C",'MAPA CORRUPCION'!#REF!),"")</f>
        <v>#REF!</v>
      </c>
      <c r="S40" s="34" t="e">
        <f>IF(AND('MAPA CORRUPCION'!#REF!="Baja",'MAPA CORRUPCION'!#REF!="Menor"),CONCATENATE("R5C",'MAPA CORRUPCION'!#REF!),"")</f>
        <v>#REF!</v>
      </c>
      <c r="T40" s="34" t="e">
        <f>IF(AND('MAPA CORRUPCION'!#REF!="Baja",'MAPA CORRUPCION'!#REF!="Menor"),CONCATENATE("R5C",'MAPA CORRUPCION'!#REF!),"")</f>
        <v>#REF!</v>
      </c>
      <c r="U40" s="35" t="e">
        <f>IF(AND('MAPA CORRUPCION'!#REF!="Baja",'MAPA CORRUPCION'!#REF!="Menor"),CONCATENATE("R5C",'MAPA CORRUPCION'!#REF!),"")</f>
        <v>#REF!</v>
      </c>
      <c r="V40" s="33" t="str">
        <f ca="1">IF(AND('MAPA CORRUPCION'!$AB$18="Baja",'MAPA CORRUPCION'!$AD$18="Moderado"),CONCATENATE("R5C",'MAPA CORRUPCION'!$R$18),"")</f>
        <v/>
      </c>
      <c r="W40" s="34" t="e">
        <f>IF(AND('MAPA CORRUPCION'!#REF!="Baja",'MAPA CORRUPCION'!#REF!="Moderado"),CONCATENATE("R5C",'MAPA CORRUPCION'!#REF!),"")</f>
        <v>#REF!</v>
      </c>
      <c r="X40" s="34" t="e">
        <f>IF(AND('MAPA CORRUPCION'!#REF!="Baja",'MAPA CORRUPCION'!#REF!="Moderado"),CONCATENATE("R5C",'MAPA CORRUPCION'!#REF!),"")</f>
        <v>#REF!</v>
      </c>
      <c r="Y40" s="34" t="e">
        <f>IF(AND('MAPA CORRUPCION'!#REF!="Baja",'MAPA CORRUPCION'!#REF!="Moderado"),CONCATENATE("R5C",'MAPA CORRUPCION'!#REF!),"")</f>
        <v>#REF!</v>
      </c>
      <c r="Z40" s="34" t="e">
        <f>IF(AND('MAPA CORRUPCION'!#REF!="Baja",'MAPA CORRUPCION'!#REF!="Moderado"),CONCATENATE("R5C",'MAPA CORRUPCION'!#REF!),"")</f>
        <v>#REF!</v>
      </c>
      <c r="AA40" s="35" t="e">
        <f>IF(AND('MAPA CORRUPCION'!#REF!="Baja",'MAPA CORRUPCION'!#REF!="Moderado"),CONCATENATE("R5C",'MAPA CORRUPCION'!#REF!),"")</f>
        <v>#REF!</v>
      </c>
      <c r="AB40" s="17" t="str">
        <f ca="1">IF(AND('MAPA CORRUPCION'!$AB$18="Baja",'MAPA CORRUPCION'!$AD$18="Mayor"),CONCATENATE("R5C",'MAPA CORRUPCION'!$R$18),"")</f>
        <v/>
      </c>
      <c r="AC40" s="18" t="e">
        <f>IF(AND('MAPA CORRUPCION'!#REF!="Baja",'MAPA CORRUPCION'!#REF!="Mayor"),CONCATENATE("R5C",'MAPA CORRUPCION'!#REF!),"")</f>
        <v>#REF!</v>
      </c>
      <c r="AD40" s="23" t="e">
        <f>IF(AND('MAPA CORRUPCION'!#REF!="Baja",'MAPA CORRUPCION'!#REF!="Mayor"),CONCATENATE("R5C",'MAPA CORRUPCION'!#REF!),"")</f>
        <v>#REF!</v>
      </c>
      <c r="AE40" s="23" t="e">
        <f>IF(AND('MAPA CORRUPCION'!#REF!="Baja",'MAPA CORRUPCION'!#REF!="Mayor"),CONCATENATE("R5C",'MAPA CORRUPCION'!#REF!),"")</f>
        <v>#REF!</v>
      </c>
      <c r="AF40" s="23" t="e">
        <f>IF(AND('MAPA CORRUPCION'!#REF!="Baja",'MAPA CORRUPCION'!#REF!="Mayor"),CONCATENATE("R5C",'MAPA CORRUPCION'!#REF!),"")</f>
        <v>#REF!</v>
      </c>
      <c r="AG40" s="19" t="e">
        <f>IF(AND('MAPA CORRUPCION'!#REF!="Baja",'MAPA CORRUPCION'!#REF!="Mayor"),CONCATENATE("R5C",'MAPA CORRUPCION'!#REF!),"")</f>
        <v>#REF!</v>
      </c>
      <c r="AH40" s="20" t="str">
        <f ca="1">IF(AND('MAPA CORRUPCION'!$AB$18="Baja",'MAPA CORRUPCION'!$AD$18="Catastrófico"),CONCATENATE("R5C",'MAPA CORRUPCION'!$R$18),"")</f>
        <v/>
      </c>
      <c r="AI40" s="21" t="e">
        <f>IF(AND('MAPA CORRUPCION'!#REF!="Baja",'MAPA CORRUPCION'!#REF!="Catastrófico"),CONCATENATE("R5C",'MAPA CORRUPCION'!#REF!),"")</f>
        <v>#REF!</v>
      </c>
      <c r="AJ40" s="21" t="e">
        <f>IF(AND('MAPA CORRUPCION'!#REF!="Baja",'MAPA CORRUPCION'!#REF!="Catastrófico"),CONCATENATE("R5C",'MAPA CORRUPCION'!#REF!),"")</f>
        <v>#REF!</v>
      </c>
      <c r="AK40" s="21" t="e">
        <f>IF(AND('MAPA CORRUPCION'!#REF!="Baja",'MAPA CORRUPCION'!#REF!="Catastrófico"),CONCATENATE("R5C",'MAPA CORRUPCION'!#REF!),"")</f>
        <v>#REF!</v>
      </c>
      <c r="AL40" s="21" t="e">
        <f>IF(AND('MAPA CORRUPCION'!#REF!="Baja",'MAPA CORRUPCION'!#REF!="Catastrófico"),CONCATENATE("R5C",'MAPA CORRUPCION'!#REF!),"")</f>
        <v>#REF!</v>
      </c>
      <c r="AM40" s="22" t="e">
        <f>IF(AND('MAPA CORRUPCION'!#REF!="Baja",'MAPA CORRUPCION'!#REF!="Catastrófico"),CONCATENATE("R5C",'MAPA CORRUPCION'!#REF!),"")</f>
        <v>#REF!</v>
      </c>
      <c r="AN40" s="49"/>
      <c r="AO40" s="418"/>
      <c r="AP40" s="419"/>
      <c r="AQ40" s="419"/>
      <c r="AR40" s="419"/>
      <c r="AS40" s="419"/>
      <c r="AT40" s="420"/>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row>
    <row r="41" spans="1:80" ht="15" customHeight="1" x14ac:dyDescent="0.25">
      <c r="A41" s="49"/>
      <c r="B41" s="296"/>
      <c r="C41" s="296"/>
      <c r="D41" s="297"/>
      <c r="E41" s="397"/>
      <c r="F41" s="398"/>
      <c r="G41" s="398"/>
      <c r="H41" s="398"/>
      <c r="I41" s="396"/>
      <c r="J41" s="42" t="e">
        <f>IF(AND('MAPA CORRUPCION'!#REF!="Baja",'MAPA CORRUPCION'!#REF!="Leve"),CONCATENATE("R6C",'MAPA CORRUPCION'!#REF!),"")</f>
        <v>#REF!</v>
      </c>
      <c r="K41" s="43" t="e">
        <f>IF(AND('MAPA CORRUPCION'!#REF!="Baja",'MAPA CORRUPCION'!#REF!="Leve"),CONCATENATE("R6C",'MAPA CORRUPCION'!#REF!),"")</f>
        <v>#REF!</v>
      </c>
      <c r="L41" s="43" t="e">
        <f>IF(AND('MAPA CORRUPCION'!#REF!="Baja",'MAPA CORRUPCION'!#REF!="Leve"),CONCATENATE("R6C",'MAPA CORRUPCION'!#REF!),"")</f>
        <v>#REF!</v>
      </c>
      <c r="M41" s="43" t="e">
        <f>IF(AND('MAPA CORRUPCION'!#REF!="Baja",'MAPA CORRUPCION'!#REF!="Leve"),CONCATENATE("R6C",'MAPA CORRUPCION'!#REF!),"")</f>
        <v>#REF!</v>
      </c>
      <c r="N41" s="43" t="e">
        <f>IF(AND('MAPA CORRUPCION'!#REF!="Baja",'MAPA CORRUPCION'!#REF!="Leve"),CONCATENATE("R6C",'MAPA CORRUPCION'!#REF!),"")</f>
        <v>#REF!</v>
      </c>
      <c r="O41" s="44" t="e">
        <f>IF(AND('MAPA CORRUPCION'!#REF!="Baja",'MAPA CORRUPCION'!#REF!="Leve"),CONCATENATE("R6C",'MAPA CORRUPCION'!#REF!),"")</f>
        <v>#REF!</v>
      </c>
      <c r="P41" s="33" t="e">
        <f>IF(AND('MAPA CORRUPCION'!#REF!="Baja",'MAPA CORRUPCION'!#REF!="Menor"),CONCATENATE("R6C",'MAPA CORRUPCION'!#REF!),"")</f>
        <v>#REF!</v>
      </c>
      <c r="Q41" s="34" t="e">
        <f>IF(AND('MAPA CORRUPCION'!#REF!="Baja",'MAPA CORRUPCION'!#REF!="Menor"),CONCATENATE("R6C",'MAPA CORRUPCION'!#REF!),"")</f>
        <v>#REF!</v>
      </c>
      <c r="R41" s="34" t="e">
        <f>IF(AND('MAPA CORRUPCION'!#REF!="Baja",'MAPA CORRUPCION'!#REF!="Menor"),CONCATENATE("R6C",'MAPA CORRUPCION'!#REF!),"")</f>
        <v>#REF!</v>
      </c>
      <c r="S41" s="34" t="e">
        <f>IF(AND('MAPA CORRUPCION'!#REF!="Baja",'MAPA CORRUPCION'!#REF!="Menor"),CONCATENATE("R6C",'MAPA CORRUPCION'!#REF!),"")</f>
        <v>#REF!</v>
      </c>
      <c r="T41" s="34" t="e">
        <f>IF(AND('MAPA CORRUPCION'!#REF!="Baja",'MAPA CORRUPCION'!#REF!="Menor"),CONCATENATE("R6C",'MAPA CORRUPCION'!#REF!),"")</f>
        <v>#REF!</v>
      </c>
      <c r="U41" s="35" t="e">
        <f>IF(AND('MAPA CORRUPCION'!#REF!="Baja",'MAPA CORRUPCION'!#REF!="Menor"),CONCATENATE("R6C",'MAPA CORRUPCION'!#REF!),"")</f>
        <v>#REF!</v>
      </c>
      <c r="V41" s="33" t="e">
        <f>IF(AND('MAPA CORRUPCION'!#REF!="Baja",'MAPA CORRUPCION'!#REF!="Moderado"),CONCATENATE("R6C",'MAPA CORRUPCION'!#REF!),"")</f>
        <v>#REF!</v>
      </c>
      <c r="W41" s="34" t="e">
        <f>IF(AND('MAPA CORRUPCION'!#REF!="Baja",'MAPA CORRUPCION'!#REF!="Moderado"),CONCATENATE("R6C",'MAPA CORRUPCION'!#REF!),"")</f>
        <v>#REF!</v>
      </c>
      <c r="X41" s="34" t="e">
        <f>IF(AND('MAPA CORRUPCION'!#REF!="Baja",'MAPA CORRUPCION'!#REF!="Moderado"),CONCATENATE("R6C",'MAPA CORRUPCION'!#REF!),"")</f>
        <v>#REF!</v>
      </c>
      <c r="Y41" s="34" t="e">
        <f>IF(AND('MAPA CORRUPCION'!#REF!="Baja",'MAPA CORRUPCION'!#REF!="Moderado"),CONCATENATE("R6C",'MAPA CORRUPCION'!#REF!),"")</f>
        <v>#REF!</v>
      </c>
      <c r="Z41" s="34" t="e">
        <f>IF(AND('MAPA CORRUPCION'!#REF!="Baja",'MAPA CORRUPCION'!#REF!="Moderado"),CONCATENATE("R6C",'MAPA CORRUPCION'!#REF!),"")</f>
        <v>#REF!</v>
      </c>
      <c r="AA41" s="35" t="e">
        <f>IF(AND('MAPA CORRUPCION'!#REF!="Baja",'MAPA CORRUPCION'!#REF!="Moderado"),CONCATENATE("R6C",'MAPA CORRUPCION'!#REF!),"")</f>
        <v>#REF!</v>
      </c>
      <c r="AB41" s="17" t="e">
        <f>IF(AND('MAPA CORRUPCION'!#REF!="Baja",'MAPA CORRUPCION'!#REF!="Mayor"),CONCATENATE("R6C",'MAPA CORRUPCION'!#REF!),"")</f>
        <v>#REF!</v>
      </c>
      <c r="AC41" s="18" t="e">
        <f>IF(AND('MAPA CORRUPCION'!#REF!="Baja",'MAPA CORRUPCION'!#REF!="Mayor"),CONCATENATE("R6C",'MAPA CORRUPCION'!#REF!),"")</f>
        <v>#REF!</v>
      </c>
      <c r="AD41" s="23" t="e">
        <f>IF(AND('MAPA CORRUPCION'!#REF!="Baja",'MAPA CORRUPCION'!#REF!="Mayor"),CONCATENATE("R6C",'MAPA CORRUPCION'!#REF!),"")</f>
        <v>#REF!</v>
      </c>
      <c r="AE41" s="23" t="e">
        <f>IF(AND('MAPA CORRUPCION'!#REF!="Baja",'MAPA CORRUPCION'!#REF!="Mayor"),CONCATENATE("R6C",'MAPA CORRUPCION'!#REF!),"")</f>
        <v>#REF!</v>
      </c>
      <c r="AF41" s="23" t="e">
        <f>IF(AND('MAPA CORRUPCION'!#REF!="Baja",'MAPA CORRUPCION'!#REF!="Mayor"),CONCATENATE("R6C",'MAPA CORRUPCION'!#REF!),"")</f>
        <v>#REF!</v>
      </c>
      <c r="AG41" s="19" t="e">
        <f>IF(AND('MAPA CORRUPCION'!#REF!="Baja",'MAPA CORRUPCION'!#REF!="Mayor"),CONCATENATE("R6C",'MAPA CORRUPCION'!#REF!),"")</f>
        <v>#REF!</v>
      </c>
      <c r="AH41" s="20" t="e">
        <f>IF(AND('MAPA CORRUPCION'!#REF!="Baja",'MAPA CORRUPCION'!#REF!="Catastrófico"),CONCATENATE("R6C",'MAPA CORRUPCION'!#REF!),"")</f>
        <v>#REF!</v>
      </c>
      <c r="AI41" s="21" t="e">
        <f>IF(AND('MAPA CORRUPCION'!#REF!="Baja",'MAPA CORRUPCION'!#REF!="Catastrófico"),CONCATENATE("R6C",'MAPA CORRUPCION'!#REF!),"")</f>
        <v>#REF!</v>
      </c>
      <c r="AJ41" s="21" t="e">
        <f>IF(AND('MAPA CORRUPCION'!#REF!="Baja",'MAPA CORRUPCION'!#REF!="Catastrófico"),CONCATENATE("R6C",'MAPA CORRUPCION'!#REF!),"")</f>
        <v>#REF!</v>
      </c>
      <c r="AK41" s="21" t="e">
        <f>IF(AND('MAPA CORRUPCION'!#REF!="Baja",'MAPA CORRUPCION'!#REF!="Catastrófico"),CONCATENATE("R6C",'MAPA CORRUPCION'!#REF!),"")</f>
        <v>#REF!</v>
      </c>
      <c r="AL41" s="21" t="e">
        <f>IF(AND('MAPA CORRUPCION'!#REF!="Baja",'MAPA CORRUPCION'!#REF!="Catastrófico"),CONCATENATE("R6C",'MAPA CORRUPCION'!#REF!),"")</f>
        <v>#REF!</v>
      </c>
      <c r="AM41" s="22" t="e">
        <f>IF(AND('MAPA CORRUPCION'!#REF!="Baja",'MAPA CORRUPCION'!#REF!="Catastrófico"),CONCATENATE("R6C",'MAPA CORRUPCION'!#REF!),"")</f>
        <v>#REF!</v>
      </c>
      <c r="AN41" s="49"/>
      <c r="AO41" s="418"/>
      <c r="AP41" s="419"/>
      <c r="AQ41" s="419"/>
      <c r="AR41" s="419"/>
      <c r="AS41" s="419"/>
      <c r="AT41" s="420"/>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row>
    <row r="42" spans="1:80" ht="15" customHeight="1" x14ac:dyDescent="0.25">
      <c r="A42" s="49"/>
      <c r="B42" s="296"/>
      <c r="C42" s="296"/>
      <c r="D42" s="297"/>
      <c r="E42" s="397"/>
      <c r="F42" s="398"/>
      <c r="G42" s="398"/>
      <c r="H42" s="398"/>
      <c r="I42" s="396"/>
      <c r="J42" s="42" t="e">
        <f>IF(AND('MAPA CORRUPCION'!#REF!="Baja",'MAPA CORRUPCION'!#REF!="Leve"),CONCATENATE("R7C",'MAPA CORRUPCION'!#REF!),"")</f>
        <v>#REF!</v>
      </c>
      <c r="K42" s="43" t="e">
        <f>IF(AND('MAPA CORRUPCION'!#REF!="Baja",'MAPA CORRUPCION'!#REF!="Leve"),CONCATENATE("R7C",'MAPA CORRUPCION'!#REF!),"")</f>
        <v>#REF!</v>
      </c>
      <c r="L42" s="43" t="e">
        <f>IF(AND('MAPA CORRUPCION'!#REF!="Baja",'MAPA CORRUPCION'!#REF!="Leve"),CONCATENATE("R7C",'MAPA CORRUPCION'!#REF!),"")</f>
        <v>#REF!</v>
      </c>
      <c r="M42" s="43" t="e">
        <f>IF(AND('MAPA CORRUPCION'!#REF!="Baja",'MAPA CORRUPCION'!#REF!="Leve"),CONCATENATE("R7C",'MAPA CORRUPCION'!#REF!),"")</f>
        <v>#REF!</v>
      </c>
      <c r="N42" s="43" t="e">
        <f>IF(AND('MAPA CORRUPCION'!#REF!="Baja",'MAPA CORRUPCION'!#REF!="Leve"),CONCATENATE("R7C",'MAPA CORRUPCION'!#REF!),"")</f>
        <v>#REF!</v>
      </c>
      <c r="O42" s="44" t="e">
        <f>IF(AND('MAPA CORRUPCION'!#REF!="Baja",'MAPA CORRUPCION'!#REF!="Leve"),CONCATENATE("R7C",'MAPA CORRUPCION'!#REF!),"")</f>
        <v>#REF!</v>
      </c>
      <c r="P42" s="33" t="e">
        <f>IF(AND('MAPA CORRUPCION'!#REF!="Baja",'MAPA CORRUPCION'!#REF!="Menor"),CONCATENATE("R7C",'MAPA CORRUPCION'!#REF!),"")</f>
        <v>#REF!</v>
      </c>
      <c r="Q42" s="34" t="e">
        <f>IF(AND('MAPA CORRUPCION'!#REF!="Baja",'MAPA CORRUPCION'!#REF!="Menor"),CONCATENATE("R7C",'MAPA CORRUPCION'!#REF!),"")</f>
        <v>#REF!</v>
      </c>
      <c r="R42" s="34" t="e">
        <f>IF(AND('MAPA CORRUPCION'!#REF!="Baja",'MAPA CORRUPCION'!#REF!="Menor"),CONCATENATE("R7C",'MAPA CORRUPCION'!#REF!),"")</f>
        <v>#REF!</v>
      </c>
      <c r="S42" s="34" t="e">
        <f>IF(AND('MAPA CORRUPCION'!#REF!="Baja",'MAPA CORRUPCION'!#REF!="Menor"),CONCATENATE("R7C",'MAPA CORRUPCION'!#REF!),"")</f>
        <v>#REF!</v>
      </c>
      <c r="T42" s="34" t="e">
        <f>IF(AND('MAPA CORRUPCION'!#REF!="Baja",'MAPA CORRUPCION'!#REF!="Menor"),CONCATENATE("R7C",'MAPA CORRUPCION'!#REF!),"")</f>
        <v>#REF!</v>
      </c>
      <c r="U42" s="35" t="e">
        <f>IF(AND('MAPA CORRUPCION'!#REF!="Baja",'MAPA CORRUPCION'!#REF!="Menor"),CONCATENATE("R7C",'MAPA CORRUPCION'!#REF!),"")</f>
        <v>#REF!</v>
      </c>
      <c r="V42" s="33" t="e">
        <f>IF(AND('MAPA CORRUPCION'!#REF!="Baja",'MAPA CORRUPCION'!#REF!="Moderado"),CONCATENATE("R7C",'MAPA CORRUPCION'!#REF!),"")</f>
        <v>#REF!</v>
      </c>
      <c r="W42" s="34" t="e">
        <f>IF(AND('MAPA CORRUPCION'!#REF!="Baja",'MAPA CORRUPCION'!#REF!="Moderado"),CONCATENATE("R7C",'MAPA CORRUPCION'!#REF!),"")</f>
        <v>#REF!</v>
      </c>
      <c r="X42" s="34" t="e">
        <f>IF(AND('MAPA CORRUPCION'!#REF!="Baja",'MAPA CORRUPCION'!#REF!="Moderado"),CONCATENATE("R7C",'MAPA CORRUPCION'!#REF!),"")</f>
        <v>#REF!</v>
      </c>
      <c r="Y42" s="34" t="e">
        <f>IF(AND('MAPA CORRUPCION'!#REF!="Baja",'MAPA CORRUPCION'!#REF!="Moderado"),CONCATENATE("R7C",'MAPA CORRUPCION'!#REF!),"")</f>
        <v>#REF!</v>
      </c>
      <c r="Z42" s="34" t="e">
        <f>IF(AND('MAPA CORRUPCION'!#REF!="Baja",'MAPA CORRUPCION'!#REF!="Moderado"),CONCATENATE("R7C",'MAPA CORRUPCION'!#REF!),"")</f>
        <v>#REF!</v>
      </c>
      <c r="AA42" s="35" t="e">
        <f>IF(AND('MAPA CORRUPCION'!#REF!="Baja",'MAPA CORRUPCION'!#REF!="Moderado"),CONCATENATE("R7C",'MAPA CORRUPCION'!#REF!),"")</f>
        <v>#REF!</v>
      </c>
      <c r="AB42" s="17" t="e">
        <f>IF(AND('MAPA CORRUPCION'!#REF!="Baja",'MAPA CORRUPCION'!#REF!="Mayor"),CONCATENATE("R7C",'MAPA CORRUPCION'!#REF!),"")</f>
        <v>#REF!</v>
      </c>
      <c r="AC42" s="18" t="e">
        <f>IF(AND('MAPA CORRUPCION'!#REF!="Baja",'MAPA CORRUPCION'!#REF!="Mayor"),CONCATENATE("R7C",'MAPA CORRUPCION'!#REF!),"")</f>
        <v>#REF!</v>
      </c>
      <c r="AD42" s="23" t="e">
        <f>IF(AND('MAPA CORRUPCION'!#REF!="Baja",'MAPA CORRUPCION'!#REF!="Mayor"),CONCATENATE("R7C",'MAPA CORRUPCION'!#REF!),"")</f>
        <v>#REF!</v>
      </c>
      <c r="AE42" s="23" t="e">
        <f>IF(AND('MAPA CORRUPCION'!#REF!="Baja",'MAPA CORRUPCION'!#REF!="Mayor"),CONCATENATE("R7C",'MAPA CORRUPCION'!#REF!),"")</f>
        <v>#REF!</v>
      </c>
      <c r="AF42" s="23" t="e">
        <f>IF(AND('MAPA CORRUPCION'!#REF!="Baja",'MAPA CORRUPCION'!#REF!="Mayor"),CONCATENATE("R7C",'MAPA CORRUPCION'!#REF!),"")</f>
        <v>#REF!</v>
      </c>
      <c r="AG42" s="19" t="e">
        <f>IF(AND('MAPA CORRUPCION'!#REF!="Baja",'MAPA CORRUPCION'!#REF!="Mayor"),CONCATENATE("R7C",'MAPA CORRUPCION'!#REF!),"")</f>
        <v>#REF!</v>
      </c>
      <c r="AH42" s="20" t="e">
        <f>IF(AND('MAPA CORRUPCION'!#REF!="Baja",'MAPA CORRUPCION'!#REF!="Catastrófico"),CONCATENATE("R7C",'MAPA CORRUPCION'!#REF!),"")</f>
        <v>#REF!</v>
      </c>
      <c r="AI42" s="21" t="e">
        <f>IF(AND('MAPA CORRUPCION'!#REF!="Baja",'MAPA CORRUPCION'!#REF!="Catastrófico"),CONCATENATE("R7C",'MAPA CORRUPCION'!#REF!),"")</f>
        <v>#REF!</v>
      </c>
      <c r="AJ42" s="21" t="e">
        <f>IF(AND('MAPA CORRUPCION'!#REF!="Baja",'MAPA CORRUPCION'!#REF!="Catastrófico"),CONCATENATE("R7C",'MAPA CORRUPCION'!#REF!),"")</f>
        <v>#REF!</v>
      </c>
      <c r="AK42" s="21" t="e">
        <f>IF(AND('MAPA CORRUPCION'!#REF!="Baja",'MAPA CORRUPCION'!#REF!="Catastrófico"),CONCATENATE("R7C",'MAPA CORRUPCION'!#REF!),"")</f>
        <v>#REF!</v>
      </c>
      <c r="AL42" s="21" t="e">
        <f>IF(AND('MAPA CORRUPCION'!#REF!="Baja",'MAPA CORRUPCION'!#REF!="Catastrófico"),CONCATENATE("R7C",'MAPA CORRUPCION'!#REF!),"")</f>
        <v>#REF!</v>
      </c>
      <c r="AM42" s="22" t="e">
        <f>IF(AND('MAPA CORRUPCION'!#REF!="Baja",'MAPA CORRUPCION'!#REF!="Catastrófico"),CONCATENATE("R7C",'MAPA CORRUPCION'!#REF!),"")</f>
        <v>#REF!</v>
      </c>
      <c r="AN42" s="49"/>
      <c r="AO42" s="418"/>
      <c r="AP42" s="419"/>
      <c r="AQ42" s="419"/>
      <c r="AR42" s="419"/>
      <c r="AS42" s="419"/>
      <c r="AT42" s="420"/>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row>
    <row r="43" spans="1:80" ht="15" customHeight="1" x14ac:dyDescent="0.25">
      <c r="A43" s="49"/>
      <c r="B43" s="296"/>
      <c r="C43" s="296"/>
      <c r="D43" s="297"/>
      <c r="E43" s="397"/>
      <c r="F43" s="398"/>
      <c r="G43" s="398"/>
      <c r="H43" s="398"/>
      <c r="I43" s="396"/>
      <c r="J43" s="42" t="e">
        <f>IF(AND('MAPA CORRUPCION'!#REF!="Baja",'MAPA CORRUPCION'!#REF!="Leve"),CONCATENATE("R8C",'MAPA CORRUPCION'!#REF!),"")</f>
        <v>#REF!</v>
      </c>
      <c r="K43" s="43" t="e">
        <f>IF(AND('MAPA CORRUPCION'!#REF!="Baja",'MAPA CORRUPCION'!#REF!="Leve"),CONCATENATE("R8C",'MAPA CORRUPCION'!#REF!),"")</f>
        <v>#REF!</v>
      </c>
      <c r="L43" s="43" t="e">
        <f>IF(AND('MAPA CORRUPCION'!#REF!="Baja",'MAPA CORRUPCION'!#REF!="Leve"),CONCATENATE("R8C",'MAPA CORRUPCION'!#REF!),"")</f>
        <v>#REF!</v>
      </c>
      <c r="M43" s="43" t="e">
        <f>IF(AND('MAPA CORRUPCION'!#REF!="Baja",'MAPA CORRUPCION'!#REF!="Leve"),CONCATENATE("R8C",'MAPA CORRUPCION'!#REF!),"")</f>
        <v>#REF!</v>
      </c>
      <c r="N43" s="43" t="e">
        <f>IF(AND('MAPA CORRUPCION'!#REF!="Baja",'MAPA CORRUPCION'!#REF!="Leve"),CONCATENATE("R8C",'MAPA CORRUPCION'!#REF!),"")</f>
        <v>#REF!</v>
      </c>
      <c r="O43" s="44" t="e">
        <f>IF(AND('MAPA CORRUPCION'!#REF!="Baja",'MAPA CORRUPCION'!#REF!="Leve"),CONCATENATE("R8C",'MAPA CORRUPCION'!#REF!),"")</f>
        <v>#REF!</v>
      </c>
      <c r="P43" s="33" t="e">
        <f>IF(AND('MAPA CORRUPCION'!#REF!="Baja",'MAPA CORRUPCION'!#REF!="Menor"),CONCATENATE("R8C",'MAPA CORRUPCION'!#REF!),"")</f>
        <v>#REF!</v>
      </c>
      <c r="Q43" s="34" t="e">
        <f>IF(AND('MAPA CORRUPCION'!#REF!="Baja",'MAPA CORRUPCION'!#REF!="Menor"),CONCATENATE("R8C",'MAPA CORRUPCION'!#REF!),"")</f>
        <v>#REF!</v>
      </c>
      <c r="R43" s="34" t="e">
        <f>IF(AND('MAPA CORRUPCION'!#REF!="Baja",'MAPA CORRUPCION'!#REF!="Menor"),CONCATENATE("R8C",'MAPA CORRUPCION'!#REF!),"")</f>
        <v>#REF!</v>
      </c>
      <c r="S43" s="34" t="e">
        <f>IF(AND('MAPA CORRUPCION'!#REF!="Baja",'MAPA CORRUPCION'!#REF!="Menor"),CONCATENATE("R8C",'MAPA CORRUPCION'!#REF!),"")</f>
        <v>#REF!</v>
      </c>
      <c r="T43" s="34" t="e">
        <f>IF(AND('MAPA CORRUPCION'!#REF!="Baja",'MAPA CORRUPCION'!#REF!="Menor"),CONCATENATE("R8C",'MAPA CORRUPCION'!#REF!),"")</f>
        <v>#REF!</v>
      </c>
      <c r="U43" s="35" t="e">
        <f>IF(AND('MAPA CORRUPCION'!#REF!="Baja",'MAPA CORRUPCION'!#REF!="Menor"),CONCATENATE("R8C",'MAPA CORRUPCION'!#REF!),"")</f>
        <v>#REF!</v>
      </c>
      <c r="V43" s="33" t="e">
        <f>IF(AND('MAPA CORRUPCION'!#REF!="Baja",'MAPA CORRUPCION'!#REF!="Moderado"),CONCATENATE("R8C",'MAPA CORRUPCION'!#REF!),"")</f>
        <v>#REF!</v>
      </c>
      <c r="W43" s="34" t="e">
        <f>IF(AND('MAPA CORRUPCION'!#REF!="Baja",'MAPA CORRUPCION'!#REF!="Moderado"),CONCATENATE("R8C",'MAPA CORRUPCION'!#REF!),"")</f>
        <v>#REF!</v>
      </c>
      <c r="X43" s="34" t="e">
        <f>IF(AND('MAPA CORRUPCION'!#REF!="Baja",'MAPA CORRUPCION'!#REF!="Moderado"),CONCATENATE("R8C",'MAPA CORRUPCION'!#REF!),"")</f>
        <v>#REF!</v>
      </c>
      <c r="Y43" s="34" t="e">
        <f>IF(AND('MAPA CORRUPCION'!#REF!="Baja",'MAPA CORRUPCION'!#REF!="Moderado"),CONCATENATE("R8C",'MAPA CORRUPCION'!#REF!),"")</f>
        <v>#REF!</v>
      </c>
      <c r="Z43" s="34" t="e">
        <f>IF(AND('MAPA CORRUPCION'!#REF!="Baja",'MAPA CORRUPCION'!#REF!="Moderado"),CONCATENATE("R8C",'MAPA CORRUPCION'!#REF!),"")</f>
        <v>#REF!</v>
      </c>
      <c r="AA43" s="35" t="e">
        <f>IF(AND('MAPA CORRUPCION'!#REF!="Baja",'MAPA CORRUPCION'!#REF!="Moderado"),CONCATENATE("R8C",'MAPA CORRUPCION'!#REF!),"")</f>
        <v>#REF!</v>
      </c>
      <c r="AB43" s="17" t="e">
        <f>IF(AND('MAPA CORRUPCION'!#REF!="Baja",'MAPA CORRUPCION'!#REF!="Mayor"),CONCATENATE("R8C",'MAPA CORRUPCION'!#REF!),"")</f>
        <v>#REF!</v>
      </c>
      <c r="AC43" s="18" t="e">
        <f>IF(AND('MAPA CORRUPCION'!#REF!="Baja",'MAPA CORRUPCION'!#REF!="Mayor"),CONCATENATE("R8C",'MAPA CORRUPCION'!#REF!),"")</f>
        <v>#REF!</v>
      </c>
      <c r="AD43" s="23" t="e">
        <f>IF(AND('MAPA CORRUPCION'!#REF!="Baja",'MAPA CORRUPCION'!#REF!="Mayor"),CONCATENATE("R8C",'MAPA CORRUPCION'!#REF!),"")</f>
        <v>#REF!</v>
      </c>
      <c r="AE43" s="23" t="e">
        <f>IF(AND('MAPA CORRUPCION'!#REF!="Baja",'MAPA CORRUPCION'!#REF!="Mayor"),CONCATENATE("R8C",'MAPA CORRUPCION'!#REF!),"")</f>
        <v>#REF!</v>
      </c>
      <c r="AF43" s="23" t="e">
        <f>IF(AND('MAPA CORRUPCION'!#REF!="Baja",'MAPA CORRUPCION'!#REF!="Mayor"),CONCATENATE("R8C",'MAPA CORRUPCION'!#REF!),"")</f>
        <v>#REF!</v>
      </c>
      <c r="AG43" s="19" t="e">
        <f>IF(AND('MAPA CORRUPCION'!#REF!="Baja",'MAPA CORRUPCION'!#REF!="Mayor"),CONCATENATE("R8C",'MAPA CORRUPCION'!#REF!),"")</f>
        <v>#REF!</v>
      </c>
      <c r="AH43" s="20" t="e">
        <f>IF(AND('MAPA CORRUPCION'!#REF!="Baja",'MAPA CORRUPCION'!#REF!="Catastrófico"),CONCATENATE("R8C",'MAPA CORRUPCION'!#REF!),"")</f>
        <v>#REF!</v>
      </c>
      <c r="AI43" s="21" t="e">
        <f>IF(AND('MAPA CORRUPCION'!#REF!="Baja",'MAPA CORRUPCION'!#REF!="Catastrófico"),CONCATENATE("R8C",'MAPA CORRUPCION'!#REF!),"")</f>
        <v>#REF!</v>
      </c>
      <c r="AJ43" s="21" t="e">
        <f>IF(AND('MAPA CORRUPCION'!#REF!="Baja",'MAPA CORRUPCION'!#REF!="Catastrófico"),CONCATENATE("R8C",'MAPA CORRUPCION'!#REF!),"")</f>
        <v>#REF!</v>
      </c>
      <c r="AK43" s="21" t="e">
        <f>IF(AND('MAPA CORRUPCION'!#REF!="Baja",'MAPA CORRUPCION'!#REF!="Catastrófico"),CONCATENATE("R8C",'MAPA CORRUPCION'!#REF!),"")</f>
        <v>#REF!</v>
      </c>
      <c r="AL43" s="21" t="e">
        <f>IF(AND('MAPA CORRUPCION'!#REF!="Baja",'MAPA CORRUPCION'!#REF!="Catastrófico"),CONCATENATE("R8C",'MAPA CORRUPCION'!#REF!),"")</f>
        <v>#REF!</v>
      </c>
      <c r="AM43" s="22" t="e">
        <f>IF(AND('MAPA CORRUPCION'!#REF!="Baja",'MAPA CORRUPCION'!#REF!="Catastrófico"),CONCATENATE("R8C",'MAPA CORRUPCION'!#REF!),"")</f>
        <v>#REF!</v>
      </c>
      <c r="AN43" s="49"/>
      <c r="AO43" s="418"/>
      <c r="AP43" s="419"/>
      <c r="AQ43" s="419"/>
      <c r="AR43" s="419"/>
      <c r="AS43" s="419"/>
      <c r="AT43" s="420"/>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row>
    <row r="44" spans="1:80" ht="15" customHeight="1" x14ac:dyDescent="0.25">
      <c r="A44" s="49"/>
      <c r="B44" s="296"/>
      <c r="C44" s="296"/>
      <c r="D44" s="297"/>
      <c r="E44" s="397"/>
      <c r="F44" s="398"/>
      <c r="G44" s="398"/>
      <c r="H44" s="398"/>
      <c r="I44" s="396"/>
      <c r="J44" s="42" t="e">
        <f>IF(AND('MAPA CORRUPCION'!#REF!="Baja",'MAPA CORRUPCION'!#REF!="Leve"),CONCATENATE("R9C",'MAPA CORRUPCION'!#REF!),"")</f>
        <v>#REF!</v>
      </c>
      <c r="K44" s="43" t="e">
        <f>IF(AND('MAPA CORRUPCION'!#REF!="Baja",'MAPA CORRUPCION'!#REF!="Leve"),CONCATENATE("R9C",'MAPA CORRUPCION'!#REF!),"")</f>
        <v>#REF!</v>
      </c>
      <c r="L44" s="43" t="e">
        <f>IF(AND('MAPA CORRUPCION'!#REF!="Baja",'MAPA CORRUPCION'!#REF!="Leve"),CONCATENATE("R9C",'MAPA CORRUPCION'!#REF!),"")</f>
        <v>#REF!</v>
      </c>
      <c r="M44" s="43" t="e">
        <f>IF(AND('MAPA CORRUPCION'!#REF!="Baja",'MAPA CORRUPCION'!#REF!="Leve"),CONCATENATE("R9C",'MAPA CORRUPCION'!#REF!),"")</f>
        <v>#REF!</v>
      </c>
      <c r="N44" s="43" t="e">
        <f>IF(AND('MAPA CORRUPCION'!#REF!="Baja",'MAPA CORRUPCION'!#REF!="Leve"),CONCATENATE("R9C",'MAPA CORRUPCION'!#REF!),"")</f>
        <v>#REF!</v>
      </c>
      <c r="O44" s="44" t="e">
        <f>IF(AND('MAPA CORRUPCION'!#REF!="Baja",'MAPA CORRUPCION'!#REF!="Leve"),CONCATENATE("R9C",'MAPA CORRUPCION'!#REF!),"")</f>
        <v>#REF!</v>
      </c>
      <c r="P44" s="33" t="e">
        <f>IF(AND('MAPA CORRUPCION'!#REF!="Baja",'MAPA CORRUPCION'!#REF!="Menor"),CONCATENATE("R9C",'MAPA CORRUPCION'!#REF!),"")</f>
        <v>#REF!</v>
      </c>
      <c r="Q44" s="34" t="e">
        <f>IF(AND('MAPA CORRUPCION'!#REF!="Baja",'MAPA CORRUPCION'!#REF!="Menor"),CONCATENATE("R9C",'MAPA CORRUPCION'!#REF!),"")</f>
        <v>#REF!</v>
      </c>
      <c r="R44" s="34" t="e">
        <f>IF(AND('MAPA CORRUPCION'!#REF!="Baja",'MAPA CORRUPCION'!#REF!="Menor"),CONCATENATE("R9C",'MAPA CORRUPCION'!#REF!),"")</f>
        <v>#REF!</v>
      </c>
      <c r="S44" s="34" t="e">
        <f>IF(AND('MAPA CORRUPCION'!#REF!="Baja",'MAPA CORRUPCION'!#REF!="Menor"),CONCATENATE("R9C",'MAPA CORRUPCION'!#REF!),"")</f>
        <v>#REF!</v>
      </c>
      <c r="T44" s="34" t="e">
        <f>IF(AND('MAPA CORRUPCION'!#REF!="Baja",'MAPA CORRUPCION'!#REF!="Menor"),CONCATENATE("R9C",'MAPA CORRUPCION'!#REF!),"")</f>
        <v>#REF!</v>
      </c>
      <c r="U44" s="35" t="e">
        <f>IF(AND('MAPA CORRUPCION'!#REF!="Baja",'MAPA CORRUPCION'!#REF!="Menor"),CONCATENATE("R9C",'MAPA CORRUPCION'!#REF!),"")</f>
        <v>#REF!</v>
      </c>
      <c r="V44" s="33" t="e">
        <f>IF(AND('MAPA CORRUPCION'!#REF!="Baja",'MAPA CORRUPCION'!#REF!="Moderado"),CONCATENATE("R9C",'MAPA CORRUPCION'!#REF!),"")</f>
        <v>#REF!</v>
      </c>
      <c r="W44" s="34" t="e">
        <f>IF(AND('MAPA CORRUPCION'!#REF!="Baja",'MAPA CORRUPCION'!#REF!="Moderado"),CONCATENATE("R9C",'MAPA CORRUPCION'!#REF!),"")</f>
        <v>#REF!</v>
      </c>
      <c r="X44" s="34" t="e">
        <f>IF(AND('MAPA CORRUPCION'!#REF!="Baja",'MAPA CORRUPCION'!#REF!="Moderado"),CONCATENATE("R9C",'MAPA CORRUPCION'!#REF!),"")</f>
        <v>#REF!</v>
      </c>
      <c r="Y44" s="34" t="e">
        <f>IF(AND('MAPA CORRUPCION'!#REF!="Baja",'MAPA CORRUPCION'!#REF!="Moderado"),CONCATENATE("R9C",'MAPA CORRUPCION'!#REF!),"")</f>
        <v>#REF!</v>
      </c>
      <c r="Z44" s="34" t="e">
        <f>IF(AND('MAPA CORRUPCION'!#REF!="Baja",'MAPA CORRUPCION'!#REF!="Moderado"),CONCATENATE("R9C",'MAPA CORRUPCION'!#REF!),"")</f>
        <v>#REF!</v>
      </c>
      <c r="AA44" s="35" t="e">
        <f>IF(AND('MAPA CORRUPCION'!#REF!="Baja",'MAPA CORRUPCION'!#REF!="Moderado"),CONCATENATE("R9C",'MAPA CORRUPCION'!#REF!),"")</f>
        <v>#REF!</v>
      </c>
      <c r="AB44" s="17" t="e">
        <f>IF(AND('MAPA CORRUPCION'!#REF!="Baja",'MAPA CORRUPCION'!#REF!="Mayor"),CONCATENATE("R9C",'MAPA CORRUPCION'!#REF!),"")</f>
        <v>#REF!</v>
      </c>
      <c r="AC44" s="18" t="e">
        <f>IF(AND('MAPA CORRUPCION'!#REF!="Baja",'MAPA CORRUPCION'!#REF!="Mayor"),CONCATENATE("R9C",'MAPA CORRUPCION'!#REF!),"")</f>
        <v>#REF!</v>
      </c>
      <c r="AD44" s="23" t="e">
        <f>IF(AND('MAPA CORRUPCION'!#REF!="Baja",'MAPA CORRUPCION'!#REF!="Mayor"),CONCATENATE("R9C",'MAPA CORRUPCION'!#REF!),"")</f>
        <v>#REF!</v>
      </c>
      <c r="AE44" s="23" t="e">
        <f>IF(AND('MAPA CORRUPCION'!#REF!="Baja",'MAPA CORRUPCION'!#REF!="Mayor"),CONCATENATE("R9C",'MAPA CORRUPCION'!#REF!),"")</f>
        <v>#REF!</v>
      </c>
      <c r="AF44" s="23" t="e">
        <f>IF(AND('MAPA CORRUPCION'!#REF!="Baja",'MAPA CORRUPCION'!#REF!="Mayor"),CONCATENATE("R9C",'MAPA CORRUPCION'!#REF!),"")</f>
        <v>#REF!</v>
      </c>
      <c r="AG44" s="19" t="e">
        <f>IF(AND('MAPA CORRUPCION'!#REF!="Baja",'MAPA CORRUPCION'!#REF!="Mayor"),CONCATENATE("R9C",'MAPA CORRUPCION'!#REF!),"")</f>
        <v>#REF!</v>
      </c>
      <c r="AH44" s="20" t="e">
        <f>IF(AND('MAPA CORRUPCION'!#REF!="Baja",'MAPA CORRUPCION'!#REF!="Catastrófico"),CONCATENATE("R9C",'MAPA CORRUPCION'!#REF!),"")</f>
        <v>#REF!</v>
      </c>
      <c r="AI44" s="21" t="e">
        <f>IF(AND('MAPA CORRUPCION'!#REF!="Baja",'MAPA CORRUPCION'!#REF!="Catastrófico"),CONCATENATE("R9C",'MAPA CORRUPCION'!#REF!),"")</f>
        <v>#REF!</v>
      </c>
      <c r="AJ44" s="21" t="e">
        <f>IF(AND('MAPA CORRUPCION'!#REF!="Baja",'MAPA CORRUPCION'!#REF!="Catastrófico"),CONCATENATE("R9C",'MAPA CORRUPCION'!#REF!),"")</f>
        <v>#REF!</v>
      </c>
      <c r="AK44" s="21" t="e">
        <f>IF(AND('MAPA CORRUPCION'!#REF!="Baja",'MAPA CORRUPCION'!#REF!="Catastrófico"),CONCATENATE("R9C",'MAPA CORRUPCION'!#REF!),"")</f>
        <v>#REF!</v>
      </c>
      <c r="AL44" s="21" t="e">
        <f>IF(AND('MAPA CORRUPCION'!#REF!="Baja",'MAPA CORRUPCION'!#REF!="Catastrófico"),CONCATENATE("R9C",'MAPA CORRUPCION'!#REF!),"")</f>
        <v>#REF!</v>
      </c>
      <c r="AM44" s="22" t="e">
        <f>IF(AND('MAPA CORRUPCION'!#REF!="Baja",'MAPA CORRUPCION'!#REF!="Catastrófico"),CONCATENATE("R9C",'MAPA CORRUPCION'!#REF!),"")</f>
        <v>#REF!</v>
      </c>
      <c r="AN44" s="49"/>
      <c r="AO44" s="418"/>
      <c r="AP44" s="419"/>
      <c r="AQ44" s="419"/>
      <c r="AR44" s="419"/>
      <c r="AS44" s="419"/>
      <c r="AT44" s="420"/>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row>
    <row r="45" spans="1:80" ht="15.75" customHeight="1" thickBot="1" x14ac:dyDescent="0.3">
      <c r="A45" s="49"/>
      <c r="B45" s="296"/>
      <c r="C45" s="296"/>
      <c r="D45" s="297"/>
      <c r="E45" s="399"/>
      <c r="F45" s="400"/>
      <c r="G45" s="400"/>
      <c r="H45" s="400"/>
      <c r="I45" s="400"/>
      <c r="J45" s="45" t="e">
        <f>IF(AND('MAPA CORRUPCION'!#REF!="Baja",'MAPA CORRUPCION'!#REF!="Leve"),CONCATENATE("R10C",'MAPA CORRUPCION'!#REF!),"")</f>
        <v>#REF!</v>
      </c>
      <c r="K45" s="46" t="e">
        <f>IF(AND('MAPA CORRUPCION'!#REF!="Baja",'MAPA CORRUPCION'!#REF!="Leve"),CONCATENATE("R10C",'MAPA CORRUPCION'!#REF!),"")</f>
        <v>#REF!</v>
      </c>
      <c r="L45" s="46" t="e">
        <f>IF(AND('MAPA CORRUPCION'!#REF!="Baja",'MAPA CORRUPCION'!#REF!="Leve"),CONCATENATE("R10C",'MAPA CORRUPCION'!#REF!),"")</f>
        <v>#REF!</v>
      </c>
      <c r="M45" s="46" t="e">
        <f>IF(AND('MAPA CORRUPCION'!#REF!="Baja",'MAPA CORRUPCION'!#REF!="Leve"),CONCATENATE("R10C",'MAPA CORRUPCION'!#REF!),"")</f>
        <v>#REF!</v>
      </c>
      <c r="N45" s="46" t="e">
        <f>IF(AND('MAPA CORRUPCION'!#REF!="Baja",'MAPA CORRUPCION'!#REF!="Leve"),CONCATENATE("R10C",'MAPA CORRUPCION'!#REF!),"")</f>
        <v>#REF!</v>
      </c>
      <c r="O45" s="47" t="e">
        <f>IF(AND('MAPA CORRUPCION'!#REF!="Baja",'MAPA CORRUPCION'!#REF!="Leve"),CONCATENATE("R10C",'MAPA CORRUPCION'!#REF!),"")</f>
        <v>#REF!</v>
      </c>
      <c r="P45" s="33" t="e">
        <f>IF(AND('MAPA CORRUPCION'!#REF!="Baja",'MAPA CORRUPCION'!#REF!="Menor"),CONCATENATE("R10C",'MAPA CORRUPCION'!#REF!),"")</f>
        <v>#REF!</v>
      </c>
      <c r="Q45" s="34" t="e">
        <f>IF(AND('MAPA CORRUPCION'!#REF!="Baja",'MAPA CORRUPCION'!#REF!="Menor"),CONCATENATE("R10C",'MAPA CORRUPCION'!#REF!),"")</f>
        <v>#REF!</v>
      </c>
      <c r="R45" s="34" t="e">
        <f>IF(AND('MAPA CORRUPCION'!#REF!="Baja",'MAPA CORRUPCION'!#REF!="Menor"),CONCATENATE("R10C",'MAPA CORRUPCION'!#REF!),"")</f>
        <v>#REF!</v>
      </c>
      <c r="S45" s="34" t="e">
        <f>IF(AND('MAPA CORRUPCION'!#REF!="Baja",'MAPA CORRUPCION'!#REF!="Menor"),CONCATENATE("R10C",'MAPA CORRUPCION'!#REF!),"")</f>
        <v>#REF!</v>
      </c>
      <c r="T45" s="34" t="e">
        <f>IF(AND('MAPA CORRUPCION'!#REF!="Baja",'MAPA CORRUPCION'!#REF!="Menor"),CONCATENATE("R10C",'MAPA CORRUPCION'!#REF!),"")</f>
        <v>#REF!</v>
      </c>
      <c r="U45" s="35" t="e">
        <f>IF(AND('MAPA CORRUPCION'!#REF!="Baja",'MAPA CORRUPCION'!#REF!="Menor"),CONCATENATE("R10C",'MAPA CORRUPCION'!#REF!),"")</f>
        <v>#REF!</v>
      </c>
      <c r="V45" s="36" t="e">
        <f>IF(AND('MAPA CORRUPCION'!#REF!="Baja",'MAPA CORRUPCION'!#REF!="Moderado"),CONCATENATE("R10C",'MAPA CORRUPCION'!#REF!),"")</f>
        <v>#REF!</v>
      </c>
      <c r="W45" s="37" t="e">
        <f>IF(AND('MAPA CORRUPCION'!#REF!="Baja",'MAPA CORRUPCION'!#REF!="Moderado"),CONCATENATE("R10C",'MAPA CORRUPCION'!#REF!),"")</f>
        <v>#REF!</v>
      </c>
      <c r="X45" s="37" t="e">
        <f>IF(AND('MAPA CORRUPCION'!#REF!="Baja",'MAPA CORRUPCION'!#REF!="Moderado"),CONCATENATE("R10C",'MAPA CORRUPCION'!#REF!),"")</f>
        <v>#REF!</v>
      </c>
      <c r="Y45" s="37" t="e">
        <f>IF(AND('MAPA CORRUPCION'!#REF!="Baja",'MAPA CORRUPCION'!#REF!="Moderado"),CONCATENATE("R10C",'MAPA CORRUPCION'!#REF!),"")</f>
        <v>#REF!</v>
      </c>
      <c r="Z45" s="37" t="e">
        <f>IF(AND('MAPA CORRUPCION'!#REF!="Baja",'MAPA CORRUPCION'!#REF!="Moderado"),CONCATENATE("R10C",'MAPA CORRUPCION'!#REF!),"")</f>
        <v>#REF!</v>
      </c>
      <c r="AA45" s="38" t="e">
        <f>IF(AND('MAPA CORRUPCION'!#REF!="Baja",'MAPA CORRUPCION'!#REF!="Moderado"),CONCATENATE("R10C",'MAPA CORRUPCION'!#REF!),"")</f>
        <v>#REF!</v>
      </c>
      <c r="AB45" s="24" t="e">
        <f>IF(AND('MAPA CORRUPCION'!#REF!="Baja",'MAPA CORRUPCION'!#REF!="Mayor"),CONCATENATE("R10C",'MAPA CORRUPCION'!#REF!),"")</f>
        <v>#REF!</v>
      </c>
      <c r="AC45" s="25" t="e">
        <f>IF(AND('MAPA CORRUPCION'!#REF!="Baja",'MAPA CORRUPCION'!#REF!="Mayor"),CONCATENATE("R10C",'MAPA CORRUPCION'!#REF!),"")</f>
        <v>#REF!</v>
      </c>
      <c r="AD45" s="25" t="e">
        <f>IF(AND('MAPA CORRUPCION'!#REF!="Baja",'MAPA CORRUPCION'!#REF!="Mayor"),CONCATENATE("R10C",'MAPA CORRUPCION'!#REF!),"")</f>
        <v>#REF!</v>
      </c>
      <c r="AE45" s="25" t="e">
        <f>IF(AND('MAPA CORRUPCION'!#REF!="Baja",'MAPA CORRUPCION'!#REF!="Mayor"),CONCATENATE("R10C",'MAPA CORRUPCION'!#REF!),"")</f>
        <v>#REF!</v>
      </c>
      <c r="AF45" s="25" t="e">
        <f>IF(AND('MAPA CORRUPCION'!#REF!="Baja",'MAPA CORRUPCION'!#REF!="Mayor"),CONCATENATE("R10C",'MAPA CORRUPCION'!#REF!),"")</f>
        <v>#REF!</v>
      </c>
      <c r="AG45" s="26" t="e">
        <f>IF(AND('MAPA CORRUPCION'!#REF!="Baja",'MAPA CORRUPCION'!#REF!="Mayor"),CONCATENATE("R10C",'MAPA CORRUPCION'!#REF!),"")</f>
        <v>#REF!</v>
      </c>
      <c r="AH45" s="27" t="e">
        <f>IF(AND('MAPA CORRUPCION'!#REF!="Baja",'MAPA CORRUPCION'!#REF!="Catastrófico"),CONCATENATE("R10C",'MAPA CORRUPCION'!#REF!),"")</f>
        <v>#REF!</v>
      </c>
      <c r="AI45" s="28" t="e">
        <f>IF(AND('MAPA CORRUPCION'!#REF!="Baja",'MAPA CORRUPCION'!#REF!="Catastrófico"),CONCATENATE("R10C",'MAPA CORRUPCION'!#REF!),"")</f>
        <v>#REF!</v>
      </c>
      <c r="AJ45" s="28" t="e">
        <f>IF(AND('MAPA CORRUPCION'!#REF!="Baja",'MAPA CORRUPCION'!#REF!="Catastrófico"),CONCATENATE("R10C",'MAPA CORRUPCION'!#REF!),"")</f>
        <v>#REF!</v>
      </c>
      <c r="AK45" s="28" t="e">
        <f>IF(AND('MAPA CORRUPCION'!#REF!="Baja",'MAPA CORRUPCION'!#REF!="Catastrófico"),CONCATENATE("R10C",'MAPA CORRUPCION'!#REF!),"")</f>
        <v>#REF!</v>
      </c>
      <c r="AL45" s="28" t="e">
        <f>IF(AND('MAPA CORRUPCION'!#REF!="Baja",'MAPA CORRUPCION'!#REF!="Catastrófico"),CONCATENATE("R10C",'MAPA CORRUPCION'!#REF!),"")</f>
        <v>#REF!</v>
      </c>
      <c r="AM45" s="29" t="e">
        <f>IF(AND('MAPA CORRUPCION'!#REF!="Baja",'MAPA CORRUPCION'!#REF!="Catastrófico"),CONCATENATE("R10C",'MAPA CORRUPCION'!#REF!),"")</f>
        <v>#REF!</v>
      </c>
      <c r="AN45" s="49"/>
      <c r="AO45" s="421"/>
      <c r="AP45" s="422"/>
      <c r="AQ45" s="422"/>
      <c r="AR45" s="422"/>
      <c r="AS45" s="422"/>
      <c r="AT45" s="423"/>
    </row>
    <row r="46" spans="1:80" ht="46.5" customHeight="1" x14ac:dyDescent="0.35">
      <c r="A46" s="49"/>
      <c r="B46" s="296"/>
      <c r="C46" s="296"/>
      <c r="D46" s="297"/>
      <c r="E46" s="393" t="s">
        <v>98</v>
      </c>
      <c r="F46" s="394"/>
      <c r="G46" s="394"/>
      <c r="H46" s="394"/>
      <c r="I46" s="412"/>
      <c r="J46" s="39" t="str">
        <f>IF(AND('MAPA CORRUPCION'!$AB$5="Muy Baja",'MAPA CORRUPCION'!$AD$5="Leve"),CONCATENATE("R1C",'MAPA CORRUPCION'!$R$5),"")</f>
        <v/>
      </c>
      <c r="K46" s="40" t="e">
        <f>IF(AND('MAPA CORRUPCION'!#REF!="Muy Baja",'MAPA CORRUPCION'!#REF!="Leve"),CONCATENATE("R1C",'MAPA CORRUPCION'!#REF!),"")</f>
        <v>#REF!</v>
      </c>
      <c r="L46" s="40" t="e">
        <f>IF(AND('MAPA CORRUPCION'!#REF!="Muy Baja",'MAPA CORRUPCION'!#REF!="Leve"),CONCATENATE("R1C",'MAPA CORRUPCION'!#REF!),"")</f>
        <v>#REF!</v>
      </c>
      <c r="M46" s="40" t="e">
        <f>IF(AND('MAPA CORRUPCION'!#REF!="Muy Baja",'MAPA CORRUPCION'!#REF!="Leve"),CONCATENATE("R1C",'MAPA CORRUPCION'!#REF!),"")</f>
        <v>#REF!</v>
      </c>
      <c r="N46" s="40" t="e">
        <f>IF(AND('MAPA CORRUPCION'!#REF!="Muy Baja",'MAPA CORRUPCION'!#REF!="Leve"),CONCATENATE("R1C",'MAPA CORRUPCION'!#REF!),"")</f>
        <v>#REF!</v>
      </c>
      <c r="O46" s="41" t="e">
        <f>IF(AND('MAPA CORRUPCION'!#REF!="Muy Baja",'MAPA CORRUPCION'!#REF!="Leve"),CONCATENATE("R1C",'MAPA CORRUPCION'!#REF!),"")</f>
        <v>#REF!</v>
      </c>
      <c r="P46" s="39" t="str">
        <f>IF(AND('MAPA CORRUPCION'!$AB$5="Muy Baja",'MAPA CORRUPCION'!$AD$5="Menor"),CONCATENATE("R1C",'MAPA CORRUPCION'!$R$5),"")</f>
        <v/>
      </c>
      <c r="Q46" s="40" t="e">
        <f>IF(AND('MAPA CORRUPCION'!#REF!="Muy Baja",'MAPA CORRUPCION'!#REF!="Menor"),CONCATENATE("R1C",'MAPA CORRUPCION'!#REF!),"")</f>
        <v>#REF!</v>
      </c>
      <c r="R46" s="40" t="e">
        <f>IF(AND('MAPA CORRUPCION'!#REF!="Muy Baja",'MAPA CORRUPCION'!#REF!="Menor"),CONCATENATE("R1C",'MAPA CORRUPCION'!#REF!),"")</f>
        <v>#REF!</v>
      </c>
      <c r="S46" s="40" t="e">
        <f>IF(AND('MAPA CORRUPCION'!#REF!="Muy Baja",'MAPA CORRUPCION'!#REF!="Menor"),CONCATENATE("R1C",'MAPA CORRUPCION'!#REF!),"")</f>
        <v>#REF!</v>
      </c>
      <c r="T46" s="40" t="e">
        <f>IF(AND('MAPA CORRUPCION'!#REF!="Muy Baja",'MAPA CORRUPCION'!#REF!="Menor"),CONCATENATE("R1C",'MAPA CORRUPCION'!#REF!),"")</f>
        <v>#REF!</v>
      </c>
      <c r="U46" s="41" t="e">
        <f>IF(AND('MAPA CORRUPCION'!#REF!="Muy Baja",'MAPA CORRUPCION'!#REF!="Menor"),CONCATENATE("R1C",'MAPA CORRUPCION'!#REF!),"")</f>
        <v>#REF!</v>
      </c>
      <c r="V46" s="30" t="str">
        <f>IF(AND('MAPA CORRUPCION'!$AB$5="Muy Baja",'MAPA CORRUPCION'!$AD$5="Moderado"),CONCATENATE("R1C",'MAPA CORRUPCION'!$R$5),"")</f>
        <v/>
      </c>
      <c r="W46" s="48" t="e">
        <f>IF(AND('MAPA CORRUPCION'!#REF!="Muy Baja",'MAPA CORRUPCION'!#REF!="Moderado"),CONCATENATE("R1C",'MAPA CORRUPCION'!#REF!),"")</f>
        <v>#REF!</v>
      </c>
      <c r="X46" s="31" t="e">
        <f>IF(AND('MAPA CORRUPCION'!#REF!="Muy Baja",'MAPA CORRUPCION'!#REF!="Moderado"),CONCATENATE("R1C",'MAPA CORRUPCION'!#REF!),"")</f>
        <v>#REF!</v>
      </c>
      <c r="Y46" s="31" t="e">
        <f>IF(AND('MAPA CORRUPCION'!#REF!="Muy Baja",'MAPA CORRUPCION'!#REF!="Moderado"),CONCATENATE("R1C",'MAPA CORRUPCION'!#REF!),"")</f>
        <v>#REF!</v>
      </c>
      <c r="Z46" s="31" t="e">
        <f>IF(AND('MAPA CORRUPCION'!#REF!="Muy Baja",'MAPA CORRUPCION'!#REF!="Moderado"),CONCATENATE("R1C",'MAPA CORRUPCION'!#REF!),"")</f>
        <v>#REF!</v>
      </c>
      <c r="AA46" s="32" t="e">
        <f>IF(AND('MAPA CORRUPCION'!#REF!="Muy Baja",'MAPA CORRUPCION'!#REF!="Moderado"),CONCATENATE("R1C",'MAPA CORRUPCION'!#REF!),"")</f>
        <v>#REF!</v>
      </c>
      <c r="AB46" s="11" t="str">
        <f>IF(AND('MAPA CORRUPCION'!$AB$5="Muy Baja",'MAPA CORRUPCION'!$AD$5="Mayor"),CONCATENATE("R1C",'MAPA CORRUPCION'!$R$5),"")</f>
        <v/>
      </c>
      <c r="AC46" s="12" t="e">
        <f>IF(AND('MAPA CORRUPCION'!#REF!="Muy Baja",'MAPA CORRUPCION'!#REF!="Mayor"),CONCATENATE("R1C",'MAPA CORRUPCION'!#REF!),"")</f>
        <v>#REF!</v>
      </c>
      <c r="AD46" s="12" t="e">
        <f>IF(AND('MAPA CORRUPCION'!#REF!="Muy Baja",'MAPA CORRUPCION'!#REF!="Mayor"),CONCATENATE("R1C",'MAPA CORRUPCION'!#REF!),"")</f>
        <v>#REF!</v>
      </c>
      <c r="AE46" s="12" t="e">
        <f>IF(AND('MAPA CORRUPCION'!#REF!="Muy Baja",'MAPA CORRUPCION'!#REF!="Mayor"),CONCATENATE("R1C",'MAPA CORRUPCION'!#REF!),"")</f>
        <v>#REF!</v>
      </c>
      <c r="AF46" s="12" t="e">
        <f>IF(AND('MAPA CORRUPCION'!#REF!="Muy Baja",'MAPA CORRUPCION'!#REF!="Mayor"),CONCATENATE("R1C",'MAPA CORRUPCION'!#REF!),"")</f>
        <v>#REF!</v>
      </c>
      <c r="AG46" s="13" t="e">
        <f>IF(AND('MAPA CORRUPCION'!#REF!="Muy Baja",'MAPA CORRUPCION'!#REF!="Mayor"),CONCATENATE("R1C",'MAPA CORRUPCION'!#REF!),"")</f>
        <v>#REF!</v>
      </c>
      <c r="AH46" s="14" t="str">
        <f>IF(AND('MAPA CORRUPCION'!$AB$5="Muy Baja",'MAPA CORRUPCION'!$AD$5="Catastrófico"),CONCATENATE("R1C",'MAPA CORRUPCION'!$R$5),"")</f>
        <v/>
      </c>
      <c r="AI46" s="15" t="e">
        <f>IF(AND('MAPA CORRUPCION'!#REF!="Muy Baja",'MAPA CORRUPCION'!#REF!="Catastrófico"),CONCATENATE("R1C",'MAPA CORRUPCION'!#REF!),"")</f>
        <v>#REF!</v>
      </c>
      <c r="AJ46" s="15" t="e">
        <f>IF(AND('MAPA CORRUPCION'!#REF!="Muy Baja",'MAPA CORRUPCION'!#REF!="Catastrófico"),CONCATENATE("R1C",'MAPA CORRUPCION'!#REF!),"")</f>
        <v>#REF!</v>
      </c>
      <c r="AK46" s="15" t="e">
        <f>IF(AND('MAPA CORRUPCION'!#REF!="Muy Baja",'MAPA CORRUPCION'!#REF!="Catastrófico"),CONCATENATE("R1C",'MAPA CORRUPCION'!#REF!),"")</f>
        <v>#REF!</v>
      </c>
      <c r="AL46" s="15" t="e">
        <f>IF(AND('MAPA CORRUPCION'!#REF!="Muy Baja",'MAPA CORRUPCION'!#REF!="Catastrófico"),CONCATENATE("R1C",'MAPA CORRUPCION'!#REF!),"")</f>
        <v>#REF!</v>
      </c>
      <c r="AM46" s="16" t="e">
        <f>IF(AND('MAPA CORRUPCION'!#REF!="Muy Baja",'MAPA CORRUPCION'!#REF!="Catastrófico"),CONCATENATE("R1C",'MAPA CORRUPCION'!#REF!),"")</f>
        <v>#REF!</v>
      </c>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row>
    <row r="47" spans="1:80" ht="46.5" customHeight="1" x14ac:dyDescent="0.25">
      <c r="A47" s="49"/>
      <c r="B47" s="296"/>
      <c r="C47" s="296"/>
      <c r="D47" s="297"/>
      <c r="E47" s="395"/>
      <c r="F47" s="396"/>
      <c r="G47" s="396"/>
      <c r="H47" s="396"/>
      <c r="I47" s="413"/>
      <c r="J47" s="42" t="str">
        <f>IF(AND('MAPA CORRUPCION'!$AB$6="Muy Baja",'MAPA CORRUPCION'!$AD$6="Leve"),CONCATENATE("R2C",'MAPA CORRUPCION'!$R$6),"")</f>
        <v/>
      </c>
      <c r="K47" s="43" t="str">
        <f>IF(AND('MAPA CORRUPCION'!$AB$7="Muy Baja",'MAPA CORRUPCION'!$AD$7="Leve"),CONCATENATE("R2C",'MAPA CORRUPCION'!$R$7),"")</f>
        <v/>
      </c>
      <c r="L47" s="43" t="str">
        <f>IF(AND('MAPA CORRUPCION'!$AB$8="Muy Baja",'MAPA CORRUPCION'!$AD$8="Leve"),CONCATENATE("R2C",'MAPA CORRUPCION'!$R$8),"")</f>
        <v/>
      </c>
      <c r="M47" s="43" t="str">
        <f>IF(AND('MAPA CORRUPCION'!$AB$9="Muy Baja",'MAPA CORRUPCION'!$AD$9="Leve"),CONCATENATE("R2C",'MAPA CORRUPCION'!$R$9),"")</f>
        <v/>
      </c>
      <c r="N47" s="43" t="e">
        <f>IF(AND('MAPA CORRUPCION'!#REF!="Muy Baja",'MAPA CORRUPCION'!#REF!="Leve"),CONCATENATE("R2C",'MAPA CORRUPCION'!#REF!),"")</f>
        <v>#REF!</v>
      </c>
      <c r="O47" s="44" t="e">
        <f>IF(AND('MAPA CORRUPCION'!#REF!="Muy Baja",'MAPA CORRUPCION'!#REF!="Leve"),CONCATENATE("R2C",'MAPA CORRUPCION'!#REF!),"")</f>
        <v>#REF!</v>
      </c>
      <c r="P47" s="42" t="str">
        <f>IF(AND('MAPA CORRUPCION'!$AB$6="Muy Baja",'MAPA CORRUPCION'!$AD$6="Menor"),CONCATENATE("R2C",'MAPA CORRUPCION'!$R$6),"")</f>
        <v/>
      </c>
      <c r="Q47" s="43" t="str">
        <f>IF(AND('MAPA CORRUPCION'!$AB$7="Muy Baja",'MAPA CORRUPCION'!$AD$7="Menor"),CONCATENATE("R2C",'MAPA CORRUPCION'!$R$7),"")</f>
        <v/>
      </c>
      <c r="R47" s="43" t="str">
        <f>IF(AND('MAPA CORRUPCION'!$AB$8="Muy Baja",'MAPA CORRUPCION'!$AD$8="Menor"),CONCATENATE("R2C",'MAPA CORRUPCION'!$R$8),"")</f>
        <v/>
      </c>
      <c r="S47" s="43" t="str">
        <f>IF(AND('MAPA CORRUPCION'!$AB$9="Muy Baja",'MAPA CORRUPCION'!$AD$9="Menor"),CONCATENATE("R2C",'MAPA CORRUPCION'!$R$9),"")</f>
        <v/>
      </c>
      <c r="T47" s="43" t="e">
        <f>IF(AND('MAPA CORRUPCION'!#REF!="Muy Baja",'MAPA CORRUPCION'!#REF!="Menor"),CONCATENATE("R2C",'MAPA CORRUPCION'!#REF!),"")</f>
        <v>#REF!</v>
      </c>
      <c r="U47" s="44" t="e">
        <f>IF(AND('MAPA CORRUPCION'!#REF!="Muy Baja",'MAPA CORRUPCION'!#REF!="Menor"),CONCATENATE("R2C",'MAPA CORRUPCION'!#REF!),"")</f>
        <v>#REF!</v>
      </c>
      <c r="V47" s="33" t="str">
        <f>IF(AND('MAPA CORRUPCION'!$AB$6="Muy Baja",'MAPA CORRUPCION'!$AD$6="Moderado"),CONCATENATE("R2C",'MAPA CORRUPCION'!$R$6),"")</f>
        <v/>
      </c>
      <c r="W47" s="34" t="str">
        <f>IF(AND('MAPA CORRUPCION'!$AB$7="Muy Baja",'MAPA CORRUPCION'!$AD$7="Moderado"),CONCATENATE("R2C",'MAPA CORRUPCION'!$R$7),"")</f>
        <v/>
      </c>
      <c r="X47" s="34" t="str">
        <f>IF(AND('MAPA CORRUPCION'!$AB$8="Muy Baja",'MAPA CORRUPCION'!$AD$8="Moderado"),CONCATENATE("R2C",'MAPA CORRUPCION'!$R$8),"")</f>
        <v/>
      </c>
      <c r="Y47" s="34" t="str">
        <f>IF(AND('MAPA CORRUPCION'!$AB$9="Muy Baja",'MAPA CORRUPCION'!$AD$9="Moderado"),CONCATENATE("R2C",'MAPA CORRUPCION'!$R$9),"")</f>
        <v/>
      </c>
      <c r="Z47" s="34" t="e">
        <f>IF(AND('MAPA CORRUPCION'!#REF!="Muy Baja",'MAPA CORRUPCION'!#REF!="Moderado"),CONCATENATE("R2C",'MAPA CORRUPCION'!#REF!),"")</f>
        <v>#REF!</v>
      </c>
      <c r="AA47" s="35" t="e">
        <f>IF(AND('MAPA CORRUPCION'!#REF!="Muy Baja",'MAPA CORRUPCION'!#REF!="Moderado"),CONCATENATE("R2C",'MAPA CORRUPCION'!#REF!),"")</f>
        <v>#REF!</v>
      </c>
      <c r="AB47" s="17" t="str">
        <f>IF(AND('MAPA CORRUPCION'!$AB$6="Muy Baja",'MAPA CORRUPCION'!$AD$6="Mayor"),CONCATENATE("R2C",'MAPA CORRUPCION'!$R$6),"")</f>
        <v/>
      </c>
      <c r="AC47" s="18" t="str">
        <f>IF(AND('MAPA CORRUPCION'!$AB$7="Muy Baja",'MAPA CORRUPCION'!$AD$7="Mayor"),CONCATENATE("R2C",'MAPA CORRUPCION'!$R$7),"")</f>
        <v>R2C2</v>
      </c>
      <c r="AD47" s="18" t="str">
        <f>IF(AND('MAPA CORRUPCION'!$AB$8="Muy Baja",'MAPA CORRUPCION'!$AD$8="Mayor"),CONCATENATE("R2C",'MAPA CORRUPCION'!$R$8),"")</f>
        <v>R2C3</v>
      </c>
      <c r="AE47" s="18" t="str">
        <f>IF(AND('MAPA CORRUPCION'!$AB$9="Muy Baja",'MAPA CORRUPCION'!$AD$9="Mayor"),CONCATENATE("R2C",'MAPA CORRUPCION'!$R$9),"")</f>
        <v>R2C4</v>
      </c>
      <c r="AF47" s="18" t="e">
        <f>IF(AND('MAPA CORRUPCION'!#REF!="Muy Baja",'MAPA CORRUPCION'!#REF!="Mayor"),CONCATENATE("R2C",'MAPA CORRUPCION'!#REF!),"")</f>
        <v>#REF!</v>
      </c>
      <c r="AG47" s="19" t="e">
        <f>IF(AND('MAPA CORRUPCION'!#REF!="Muy Baja",'MAPA CORRUPCION'!#REF!="Mayor"),CONCATENATE("R2C",'MAPA CORRUPCION'!#REF!),"")</f>
        <v>#REF!</v>
      </c>
      <c r="AH47" s="20" t="str">
        <f>IF(AND('MAPA CORRUPCION'!$AB$6="Muy Baja",'MAPA CORRUPCION'!$AD$6="Catastrófico"),CONCATENATE("R2C",'MAPA CORRUPCION'!$R$6),"")</f>
        <v/>
      </c>
      <c r="AI47" s="21" t="str">
        <f>IF(AND('MAPA CORRUPCION'!$AB$7="Muy Baja",'MAPA CORRUPCION'!$AD$7="Catastrófico"),CONCATENATE("R2C",'MAPA CORRUPCION'!$R$7),"")</f>
        <v/>
      </c>
      <c r="AJ47" s="21" t="str">
        <f>IF(AND('MAPA CORRUPCION'!$AB$8="Muy Baja",'MAPA CORRUPCION'!$AD$8="Catastrófico"),CONCATENATE("R2C",'MAPA CORRUPCION'!$R$8),"")</f>
        <v/>
      </c>
      <c r="AK47" s="21" t="str">
        <f>IF(AND('MAPA CORRUPCION'!$AB$9="Muy Baja",'MAPA CORRUPCION'!$AD$9="Catastrófico"),CONCATENATE("R2C",'MAPA CORRUPCION'!$R$9),"")</f>
        <v/>
      </c>
      <c r="AL47" s="21" t="e">
        <f>IF(AND('MAPA CORRUPCION'!#REF!="Muy Baja",'MAPA CORRUPCION'!#REF!="Catastrófico"),CONCATENATE("R2C",'MAPA CORRUPCION'!#REF!),"")</f>
        <v>#REF!</v>
      </c>
      <c r="AM47" s="22" t="e">
        <f>IF(AND('MAPA CORRUPCION'!#REF!="Muy Baja",'MAPA CORRUPCION'!#REF!="Catastrófico"),CONCATENATE("R2C",'MAPA CORRUPCION'!#REF!),"")</f>
        <v>#REF!</v>
      </c>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row>
    <row r="48" spans="1:80" ht="15" customHeight="1" x14ac:dyDescent="0.25">
      <c r="A48" s="49"/>
      <c r="B48" s="296"/>
      <c r="C48" s="296"/>
      <c r="D48" s="297"/>
      <c r="E48" s="395"/>
      <c r="F48" s="396"/>
      <c r="G48" s="396"/>
      <c r="H48" s="396"/>
      <c r="I48" s="413"/>
      <c r="J48" s="42" t="str">
        <f>IF(AND('MAPA CORRUPCION'!$AB$10="Muy Baja",'MAPA CORRUPCION'!$AD$10="Leve"),CONCATENATE("R3C",'MAPA CORRUPCION'!$R$10),"")</f>
        <v/>
      </c>
      <c r="K48" s="43" t="str">
        <f>IF(AND('MAPA CORRUPCION'!$AB$11="Muy Baja",'MAPA CORRUPCION'!$AD$11="Leve"),CONCATENATE("R3C",'MAPA CORRUPCION'!$R$11),"")</f>
        <v/>
      </c>
      <c r="L48" s="43" t="str">
        <f>IF(AND('MAPA CORRUPCION'!$AB$12="Muy Baja",'MAPA CORRUPCION'!$AD$12="Leve"),CONCATENATE("R3C",'MAPA CORRUPCION'!$R$12),"")</f>
        <v/>
      </c>
      <c r="M48" s="43" t="str">
        <f ca="1">IF(AND('MAPA CORRUPCION'!$AB$13="Muy Baja",'MAPA CORRUPCION'!$AD$13="Leve"),CONCATENATE("R3C",'MAPA CORRUPCION'!$R$13),"")</f>
        <v/>
      </c>
      <c r="N48" s="43" t="str">
        <f>IF(AND('MAPA CORRUPCION'!$AB$14="Muy Baja",'MAPA CORRUPCION'!$AD$14="Leve"),CONCATENATE("R3C",'MAPA CORRUPCION'!$R$14),"")</f>
        <v/>
      </c>
      <c r="O48" s="44" t="str">
        <f>IF(AND('MAPA CORRUPCION'!$AB$15="Muy Baja",'MAPA CORRUPCION'!$AD$15="Leve"),CONCATENATE("R3C",'MAPA CORRUPCION'!$R$15),"")</f>
        <v/>
      </c>
      <c r="P48" s="42" t="str">
        <f>IF(AND('MAPA CORRUPCION'!$AB$10="Muy Baja",'MAPA CORRUPCION'!$AD$10="Menor"),CONCATENATE("R3C",'MAPA CORRUPCION'!$R$10),"")</f>
        <v/>
      </c>
      <c r="Q48" s="43" t="str">
        <f>IF(AND('MAPA CORRUPCION'!$AB$11="Muy Baja",'MAPA CORRUPCION'!$AD$11="Menor"),CONCATENATE("R3C",'MAPA CORRUPCION'!$R$11),"")</f>
        <v/>
      </c>
      <c r="R48" s="43" t="str">
        <f>IF(AND('MAPA CORRUPCION'!$AB$12="Muy Baja",'MAPA CORRUPCION'!$AD$12="Menor"),CONCATENATE("R3C",'MAPA CORRUPCION'!$R$12),"")</f>
        <v/>
      </c>
      <c r="S48" s="43" t="str">
        <f ca="1">IF(AND('MAPA CORRUPCION'!$AB$13="Muy Baja",'MAPA CORRUPCION'!$AD$13="Menor"),CONCATENATE("R3C",'MAPA CORRUPCION'!$R$13),"")</f>
        <v/>
      </c>
      <c r="T48" s="43" t="str">
        <f>IF(AND('MAPA CORRUPCION'!$AB$14="Muy Baja",'MAPA CORRUPCION'!$AD$14="Menor"),CONCATENATE("R3C",'MAPA CORRUPCION'!$R$14),"")</f>
        <v/>
      </c>
      <c r="U48" s="44" t="str">
        <f>IF(AND('MAPA CORRUPCION'!$AB$15="Muy Baja",'MAPA CORRUPCION'!$AD$15="Menor"),CONCATENATE("R3C",'MAPA CORRUPCION'!$R$15),"")</f>
        <v/>
      </c>
      <c r="V48" s="33" t="str">
        <f>IF(AND('MAPA CORRUPCION'!$AB$10="Muy Baja",'MAPA CORRUPCION'!$AD$10="Moderado"),CONCATENATE("R3C",'MAPA CORRUPCION'!$R$10),"")</f>
        <v/>
      </c>
      <c r="W48" s="34" t="str">
        <f>IF(AND('MAPA CORRUPCION'!$AB$11="Muy Baja",'MAPA CORRUPCION'!$AD$11="Moderado"),CONCATENATE("R3C",'MAPA CORRUPCION'!$R$11),"")</f>
        <v/>
      </c>
      <c r="X48" s="34" t="str">
        <f>IF(AND('MAPA CORRUPCION'!$AB$12="Muy Baja",'MAPA CORRUPCION'!$AD$12="Moderado"),CONCATENATE("R3C",'MAPA CORRUPCION'!$R$12),"")</f>
        <v>R3C3</v>
      </c>
      <c r="Y48" s="34" t="str">
        <f ca="1">IF(AND('MAPA CORRUPCION'!$AB$13="Muy Baja",'MAPA CORRUPCION'!$AD$13="Moderado"),CONCATENATE("R3C",'MAPA CORRUPCION'!$R$13),"")</f>
        <v/>
      </c>
      <c r="Z48" s="34" t="str">
        <f>IF(AND('MAPA CORRUPCION'!$AB$14="Muy Baja",'MAPA CORRUPCION'!$AD$14="Moderado"),CONCATENATE("R3C",'MAPA CORRUPCION'!$R$14),"")</f>
        <v/>
      </c>
      <c r="AA48" s="35" t="str">
        <f>IF(AND('MAPA CORRUPCION'!$AB$15="Muy Baja",'MAPA CORRUPCION'!$AD$15="Moderado"),CONCATENATE("R3C",'MAPA CORRUPCION'!$R$15),"")</f>
        <v/>
      </c>
      <c r="AB48" s="17" t="str">
        <f>IF(AND('MAPA CORRUPCION'!$AB$10="Muy Baja",'MAPA CORRUPCION'!$AD$10="Mayor"),CONCATENATE("R3C",'MAPA CORRUPCION'!$R$10),"")</f>
        <v/>
      </c>
      <c r="AC48" s="18" t="str">
        <f>IF(AND('MAPA CORRUPCION'!$AB$11="Muy Baja",'MAPA CORRUPCION'!$AD$11="Mayor"),CONCATENATE("R3C",'MAPA CORRUPCION'!$R$11),"")</f>
        <v/>
      </c>
      <c r="AD48" s="18" t="str">
        <f>IF(AND('MAPA CORRUPCION'!$AB$12="Muy Baja",'MAPA CORRUPCION'!$AD$12="Mayor"),CONCATENATE("R3C",'MAPA CORRUPCION'!$R$12),"")</f>
        <v/>
      </c>
      <c r="AE48" s="18" t="str">
        <f ca="1">IF(AND('MAPA CORRUPCION'!$AB$13="Muy Baja",'MAPA CORRUPCION'!$AD$13="Mayor"),CONCATENATE("R3C",'MAPA CORRUPCION'!$R$13),"")</f>
        <v/>
      </c>
      <c r="AF48" s="18" t="str">
        <f>IF(AND('MAPA CORRUPCION'!$AB$14="Muy Baja",'MAPA CORRUPCION'!$AD$14="Mayor"),CONCATENATE("R3C",'MAPA CORRUPCION'!$R$14),"")</f>
        <v/>
      </c>
      <c r="AG48" s="19" t="str">
        <f>IF(AND('MAPA CORRUPCION'!$AB$15="Muy Baja",'MAPA CORRUPCION'!$AD$15="Mayor"),CONCATENATE("R3C",'MAPA CORRUPCION'!$R$15),"")</f>
        <v/>
      </c>
      <c r="AH48" s="20" t="str">
        <f>IF(AND('MAPA CORRUPCION'!$AB$10="Muy Baja",'MAPA CORRUPCION'!$AD$10="Catastrófico"),CONCATENATE("R3C",'MAPA CORRUPCION'!$R$10),"")</f>
        <v/>
      </c>
      <c r="AI48" s="21" t="str">
        <f>IF(AND('MAPA CORRUPCION'!$AB$11="Muy Baja",'MAPA CORRUPCION'!$AD$11="Catastrófico"),CONCATENATE("R3C",'MAPA CORRUPCION'!$R$11),"")</f>
        <v/>
      </c>
      <c r="AJ48" s="21" t="str">
        <f>IF(AND('MAPA CORRUPCION'!$AB$12="Muy Baja",'MAPA CORRUPCION'!$AD$12="Catastrófico"),CONCATENATE("R3C",'MAPA CORRUPCION'!$R$12),"")</f>
        <v/>
      </c>
      <c r="AK48" s="21" t="str">
        <f ca="1">IF(AND('MAPA CORRUPCION'!$AB$13="Muy Baja",'MAPA CORRUPCION'!$AD$13="Catastrófico"),CONCATENATE("R3C",'MAPA CORRUPCION'!$R$13),"")</f>
        <v/>
      </c>
      <c r="AL48" s="21" t="str">
        <f>IF(AND('MAPA CORRUPCION'!$AB$14="Muy Baja",'MAPA CORRUPCION'!$AD$14="Catastrófico"),CONCATENATE("R3C",'MAPA CORRUPCION'!$R$14),"")</f>
        <v/>
      </c>
      <c r="AM48" s="22" t="str">
        <f>IF(AND('MAPA CORRUPCION'!$AB$15="Muy Baja",'MAPA CORRUPCION'!$AD$15="Catastrófico"),CONCATENATE("R3C",'MAPA CORRUPCION'!$R$15),"")</f>
        <v/>
      </c>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row>
    <row r="49" spans="1:80" ht="15" customHeight="1" x14ac:dyDescent="0.25">
      <c r="A49" s="49"/>
      <c r="B49" s="296"/>
      <c r="C49" s="296"/>
      <c r="D49" s="297"/>
      <c r="E49" s="397"/>
      <c r="F49" s="398"/>
      <c r="G49" s="398"/>
      <c r="H49" s="398"/>
      <c r="I49" s="413"/>
      <c r="J49" s="42" t="str">
        <f>IF(AND('MAPA CORRUPCION'!$AB$16="Muy Baja",'MAPA CORRUPCION'!$AD$16="Leve"),CONCATENATE("R4C",'MAPA CORRUPCION'!$R$16),"")</f>
        <v/>
      </c>
      <c r="K49" s="43" t="str">
        <f>IF(AND('MAPA CORRUPCION'!$AB$17="Muy Baja",'MAPA CORRUPCION'!$AD$17="Leve"),CONCATENATE("R4C",'MAPA CORRUPCION'!$R$17),"")</f>
        <v/>
      </c>
      <c r="L49" s="43" t="e">
        <f>IF(AND('MAPA CORRUPCION'!#REF!="Muy Baja",'MAPA CORRUPCION'!#REF!="Leve"),CONCATENATE("R4C",'MAPA CORRUPCION'!#REF!),"")</f>
        <v>#REF!</v>
      </c>
      <c r="M49" s="43" t="e">
        <f>IF(AND('MAPA CORRUPCION'!#REF!="Muy Baja",'MAPA CORRUPCION'!#REF!="Leve"),CONCATENATE("R4C",'MAPA CORRUPCION'!#REF!),"")</f>
        <v>#REF!</v>
      </c>
      <c r="N49" s="43" t="e">
        <f>IF(AND('MAPA CORRUPCION'!#REF!="Muy Baja",'MAPA CORRUPCION'!#REF!="Leve"),CONCATENATE("R4C",'MAPA CORRUPCION'!#REF!),"")</f>
        <v>#REF!</v>
      </c>
      <c r="O49" s="44" t="e">
        <f>IF(AND('MAPA CORRUPCION'!#REF!="Muy Baja",'MAPA CORRUPCION'!#REF!="Leve"),CONCATENATE("R4C",'MAPA CORRUPCION'!#REF!),"")</f>
        <v>#REF!</v>
      </c>
      <c r="P49" s="42" t="str">
        <f>IF(AND('MAPA CORRUPCION'!$AB$16="Muy Baja",'MAPA CORRUPCION'!$AD$16="Menor"),CONCATENATE("R4C",'MAPA CORRUPCION'!$R$16),"")</f>
        <v/>
      </c>
      <c r="Q49" s="43" t="str">
        <f>IF(AND('MAPA CORRUPCION'!$AB$17="Muy Baja",'MAPA CORRUPCION'!$AD$17="Menor"),CONCATENATE("R4C",'MAPA CORRUPCION'!$R$17),"")</f>
        <v/>
      </c>
      <c r="R49" s="43" t="e">
        <f>IF(AND('MAPA CORRUPCION'!#REF!="Muy Baja",'MAPA CORRUPCION'!#REF!="Menor"),CONCATENATE("R4C",'MAPA CORRUPCION'!#REF!),"")</f>
        <v>#REF!</v>
      </c>
      <c r="S49" s="43" t="e">
        <f>IF(AND('MAPA CORRUPCION'!#REF!="Muy Baja",'MAPA CORRUPCION'!#REF!="Menor"),CONCATENATE("R4C",'MAPA CORRUPCION'!#REF!),"")</f>
        <v>#REF!</v>
      </c>
      <c r="T49" s="43" t="e">
        <f>IF(AND('MAPA CORRUPCION'!#REF!="Muy Baja",'MAPA CORRUPCION'!#REF!="Menor"),CONCATENATE("R4C",'MAPA CORRUPCION'!#REF!),"")</f>
        <v>#REF!</v>
      </c>
      <c r="U49" s="44" t="e">
        <f>IF(AND('MAPA CORRUPCION'!#REF!="Muy Baja",'MAPA CORRUPCION'!#REF!="Menor"),CONCATENATE("R4C",'MAPA CORRUPCION'!#REF!),"")</f>
        <v>#REF!</v>
      </c>
      <c r="V49" s="33" t="str">
        <f>IF(AND('MAPA CORRUPCION'!$AB$16="Muy Baja",'MAPA CORRUPCION'!$AD$16="Moderado"),CONCATENATE("R4C",'MAPA CORRUPCION'!$R$16),"")</f>
        <v/>
      </c>
      <c r="W49" s="34" t="str">
        <f>IF(AND('MAPA CORRUPCION'!$AB$17="Muy Baja",'MAPA CORRUPCION'!$AD$17="Moderado"),CONCATENATE("R4C",'MAPA CORRUPCION'!$R$17),"")</f>
        <v/>
      </c>
      <c r="X49" s="34" t="e">
        <f>IF(AND('MAPA CORRUPCION'!#REF!="Muy Baja",'MAPA CORRUPCION'!#REF!="Moderado"),CONCATENATE("R4C",'MAPA CORRUPCION'!#REF!),"")</f>
        <v>#REF!</v>
      </c>
      <c r="Y49" s="34" t="e">
        <f>IF(AND('MAPA CORRUPCION'!#REF!="Muy Baja",'MAPA CORRUPCION'!#REF!="Moderado"),CONCATENATE("R4C",'MAPA CORRUPCION'!#REF!),"")</f>
        <v>#REF!</v>
      </c>
      <c r="Z49" s="34" t="e">
        <f>IF(AND('MAPA CORRUPCION'!#REF!="Muy Baja",'MAPA CORRUPCION'!#REF!="Moderado"),CONCATENATE("R4C",'MAPA CORRUPCION'!#REF!),"")</f>
        <v>#REF!</v>
      </c>
      <c r="AA49" s="35" t="e">
        <f>IF(AND('MAPA CORRUPCION'!#REF!="Muy Baja",'MAPA CORRUPCION'!#REF!="Moderado"),CONCATENATE("R4C",'MAPA CORRUPCION'!#REF!),"")</f>
        <v>#REF!</v>
      </c>
      <c r="AB49" s="17" t="str">
        <f>IF(AND('MAPA CORRUPCION'!$AB$16="Muy Baja",'MAPA CORRUPCION'!$AD$16="Mayor"),CONCATENATE("R4C",'MAPA CORRUPCION'!$R$16),"")</f>
        <v/>
      </c>
      <c r="AC49" s="18" t="str">
        <f>IF(AND('MAPA CORRUPCION'!$AB$17="Muy Baja",'MAPA CORRUPCION'!$AD$17="Mayor"),CONCATENATE("R4C",'MAPA CORRUPCION'!$R$17),"")</f>
        <v/>
      </c>
      <c r="AD49" s="18" t="e">
        <f>IF(AND('MAPA CORRUPCION'!#REF!="Muy Baja",'MAPA CORRUPCION'!#REF!="Mayor"),CONCATENATE("R4C",'MAPA CORRUPCION'!#REF!),"")</f>
        <v>#REF!</v>
      </c>
      <c r="AE49" s="18" t="e">
        <f>IF(AND('MAPA CORRUPCION'!#REF!="Muy Baja",'MAPA CORRUPCION'!#REF!="Mayor"),CONCATENATE("R4C",'MAPA CORRUPCION'!#REF!),"")</f>
        <v>#REF!</v>
      </c>
      <c r="AF49" s="18" t="e">
        <f>IF(AND('MAPA CORRUPCION'!#REF!="Muy Baja",'MAPA CORRUPCION'!#REF!="Mayor"),CONCATENATE("R4C",'MAPA CORRUPCION'!#REF!),"")</f>
        <v>#REF!</v>
      </c>
      <c r="AG49" s="19" t="e">
        <f>IF(AND('MAPA CORRUPCION'!#REF!="Muy Baja",'MAPA CORRUPCION'!#REF!="Mayor"),CONCATENATE("R4C",'MAPA CORRUPCION'!#REF!),"")</f>
        <v>#REF!</v>
      </c>
      <c r="AH49" s="20" t="str">
        <f>IF(AND('MAPA CORRUPCION'!$AB$16="Muy Baja",'MAPA CORRUPCION'!$AD$16="Catastrófico"),CONCATENATE("R4C",'MAPA CORRUPCION'!$R$16),"")</f>
        <v/>
      </c>
      <c r="AI49" s="21" t="str">
        <f>IF(AND('MAPA CORRUPCION'!$AB$17="Muy Baja",'MAPA CORRUPCION'!$AD$17="Catastrófico"),CONCATENATE("R4C",'MAPA CORRUPCION'!$R$17),"")</f>
        <v/>
      </c>
      <c r="AJ49" s="21" t="e">
        <f>IF(AND('MAPA CORRUPCION'!#REF!="Muy Baja",'MAPA CORRUPCION'!#REF!="Catastrófico"),CONCATENATE("R4C",'MAPA CORRUPCION'!#REF!),"")</f>
        <v>#REF!</v>
      </c>
      <c r="AK49" s="21" t="e">
        <f>IF(AND('MAPA CORRUPCION'!#REF!="Muy Baja",'MAPA CORRUPCION'!#REF!="Catastrófico"),CONCATENATE("R4C",'MAPA CORRUPCION'!#REF!),"")</f>
        <v>#REF!</v>
      </c>
      <c r="AL49" s="21" t="e">
        <f>IF(AND('MAPA CORRUPCION'!#REF!="Muy Baja",'MAPA CORRUPCION'!#REF!="Catastrófico"),CONCATENATE("R4C",'MAPA CORRUPCION'!#REF!),"")</f>
        <v>#REF!</v>
      </c>
      <c r="AM49" s="22" t="e">
        <f>IF(AND('MAPA CORRUPCION'!#REF!="Muy Baja",'MAPA CORRUPCION'!#REF!="Catastrófico"),CONCATENATE("R4C",'MAPA CORRUPCION'!#REF!),"")</f>
        <v>#REF!</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row>
    <row r="50" spans="1:80" ht="15" customHeight="1" x14ac:dyDescent="0.25">
      <c r="A50" s="49"/>
      <c r="B50" s="296"/>
      <c r="C50" s="296"/>
      <c r="D50" s="297"/>
      <c r="E50" s="397"/>
      <c r="F50" s="398"/>
      <c r="G50" s="398"/>
      <c r="H50" s="398"/>
      <c r="I50" s="413"/>
      <c r="J50" s="42" t="str">
        <f ca="1">IF(AND('MAPA CORRUPCION'!$AB$18="Muy Baja",'MAPA CORRUPCION'!$AD$18="Leve"),CONCATENATE("R5C",'MAPA CORRUPCION'!$R$18),"")</f>
        <v/>
      </c>
      <c r="K50" s="43" t="e">
        <f>IF(AND('MAPA CORRUPCION'!#REF!="Muy Baja",'MAPA CORRUPCION'!#REF!="Leve"),CONCATENATE("R5C",'MAPA CORRUPCION'!#REF!),"")</f>
        <v>#REF!</v>
      </c>
      <c r="L50" s="43" t="e">
        <f>IF(AND('MAPA CORRUPCION'!#REF!="Muy Baja",'MAPA CORRUPCION'!#REF!="Leve"),CONCATENATE("R5C",'MAPA CORRUPCION'!#REF!),"")</f>
        <v>#REF!</v>
      </c>
      <c r="M50" s="43" t="e">
        <f>IF(AND('MAPA CORRUPCION'!#REF!="Muy Baja",'MAPA CORRUPCION'!#REF!="Leve"),CONCATENATE("R5C",'MAPA CORRUPCION'!#REF!),"")</f>
        <v>#REF!</v>
      </c>
      <c r="N50" s="43" t="e">
        <f>IF(AND('MAPA CORRUPCION'!#REF!="Muy Baja",'MAPA CORRUPCION'!#REF!="Leve"),CONCATENATE("R5C",'MAPA CORRUPCION'!#REF!),"")</f>
        <v>#REF!</v>
      </c>
      <c r="O50" s="44" t="e">
        <f>IF(AND('MAPA CORRUPCION'!#REF!="Muy Baja",'MAPA CORRUPCION'!#REF!="Leve"),CONCATENATE("R5C",'MAPA CORRUPCION'!#REF!),"")</f>
        <v>#REF!</v>
      </c>
      <c r="P50" s="42" t="str">
        <f ca="1">IF(AND('MAPA CORRUPCION'!$AB$18="Muy Baja",'MAPA CORRUPCION'!$AD$18="Menor"),CONCATENATE("R5C",'MAPA CORRUPCION'!$R$18),"")</f>
        <v>R5C1</v>
      </c>
      <c r="Q50" s="43" t="e">
        <f>IF(AND('MAPA CORRUPCION'!#REF!="Muy Baja",'MAPA CORRUPCION'!#REF!="Menor"),CONCATENATE("R5C",'MAPA CORRUPCION'!#REF!),"")</f>
        <v>#REF!</v>
      </c>
      <c r="R50" s="43" t="e">
        <f>IF(AND('MAPA CORRUPCION'!#REF!="Muy Baja",'MAPA CORRUPCION'!#REF!="Menor"),CONCATENATE("R5C",'MAPA CORRUPCION'!#REF!),"")</f>
        <v>#REF!</v>
      </c>
      <c r="S50" s="43" t="e">
        <f>IF(AND('MAPA CORRUPCION'!#REF!="Muy Baja",'MAPA CORRUPCION'!#REF!="Menor"),CONCATENATE("R5C",'MAPA CORRUPCION'!#REF!),"")</f>
        <v>#REF!</v>
      </c>
      <c r="T50" s="43" t="e">
        <f>IF(AND('MAPA CORRUPCION'!#REF!="Muy Baja",'MAPA CORRUPCION'!#REF!="Menor"),CONCATENATE("R5C",'MAPA CORRUPCION'!#REF!),"")</f>
        <v>#REF!</v>
      </c>
      <c r="U50" s="44" t="e">
        <f>IF(AND('MAPA CORRUPCION'!#REF!="Muy Baja",'MAPA CORRUPCION'!#REF!="Menor"),CONCATENATE("R5C",'MAPA CORRUPCION'!#REF!),"")</f>
        <v>#REF!</v>
      </c>
      <c r="V50" s="33" t="str">
        <f ca="1">IF(AND('MAPA CORRUPCION'!$AB$18="Muy Baja",'MAPA CORRUPCION'!$AD$18="Moderado"),CONCATENATE("R5C",'MAPA CORRUPCION'!$R$18),"")</f>
        <v/>
      </c>
      <c r="W50" s="34" t="e">
        <f>IF(AND('MAPA CORRUPCION'!#REF!="Muy Baja",'MAPA CORRUPCION'!#REF!="Moderado"),CONCATENATE("R5C",'MAPA CORRUPCION'!#REF!),"")</f>
        <v>#REF!</v>
      </c>
      <c r="X50" s="34" t="e">
        <f>IF(AND('MAPA CORRUPCION'!#REF!="Muy Baja",'MAPA CORRUPCION'!#REF!="Moderado"),CONCATENATE("R5C",'MAPA CORRUPCION'!#REF!),"")</f>
        <v>#REF!</v>
      </c>
      <c r="Y50" s="34" t="e">
        <f>IF(AND('MAPA CORRUPCION'!#REF!="Muy Baja",'MAPA CORRUPCION'!#REF!="Moderado"),CONCATENATE("R5C",'MAPA CORRUPCION'!#REF!),"")</f>
        <v>#REF!</v>
      </c>
      <c r="Z50" s="34" t="e">
        <f>IF(AND('MAPA CORRUPCION'!#REF!="Muy Baja",'MAPA CORRUPCION'!#REF!="Moderado"),CONCATENATE("R5C",'MAPA CORRUPCION'!#REF!),"")</f>
        <v>#REF!</v>
      </c>
      <c r="AA50" s="35" t="e">
        <f>IF(AND('MAPA CORRUPCION'!#REF!="Muy Baja",'MAPA CORRUPCION'!#REF!="Moderado"),CONCATENATE("R5C",'MAPA CORRUPCION'!#REF!),"")</f>
        <v>#REF!</v>
      </c>
      <c r="AB50" s="17" t="str">
        <f ca="1">IF(AND('MAPA CORRUPCION'!$AB$18="Muy Baja",'MAPA CORRUPCION'!$AD$18="Mayor"),CONCATENATE("R5C",'MAPA CORRUPCION'!$R$18),"")</f>
        <v/>
      </c>
      <c r="AC50" s="18" t="e">
        <f>IF(AND('MAPA CORRUPCION'!#REF!="Muy Baja",'MAPA CORRUPCION'!#REF!="Mayor"),CONCATENATE("R5C",'MAPA CORRUPCION'!#REF!),"")</f>
        <v>#REF!</v>
      </c>
      <c r="AD50" s="23" t="e">
        <f>IF(AND('MAPA CORRUPCION'!#REF!="Muy Baja",'MAPA CORRUPCION'!#REF!="Mayor"),CONCATENATE("R5C",'MAPA CORRUPCION'!#REF!),"")</f>
        <v>#REF!</v>
      </c>
      <c r="AE50" s="23" t="e">
        <f>IF(AND('MAPA CORRUPCION'!#REF!="Muy Baja",'MAPA CORRUPCION'!#REF!="Mayor"),CONCATENATE("R5C",'MAPA CORRUPCION'!#REF!),"")</f>
        <v>#REF!</v>
      </c>
      <c r="AF50" s="23" t="e">
        <f>IF(AND('MAPA CORRUPCION'!#REF!="Muy Baja",'MAPA CORRUPCION'!#REF!="Mayor"),CONCATENATE("R5C",'MAPA CORRUPCION'!#REF!),"")</f>
        <v>#REF!</v>
      </c>
      <c r="AG50" s="19" t="e">
        <f>IF(AND('MAPA CORRUPCION'!#REF!="Muy Baja",'MAPA CORRUPCION'!#REF!="Mayor"),CONCATENATE("R5C",'MAPA CORRUPCION'!#REF!),"")</f>
        <v>#REF!</v>
      </c>
      <c r="AH50" s="20" t="str">
        <f ca="1">IF(AND('MAPA CORRUPCION'!$AB$18="Muy Baja",'MAPA CORRUPCION'!$AD$18="Catastrófico"),CONCATENATE("R5C",'MAPA CORRUPCION'!$R$18),"")</f>
        <v/>
      </c>
      <c r="AI50" s="21" t="e">
        <f>IF(AND('MAPA CORRUPCION'!#REF!="Muy Baja",'MAPA CORRUPCION'!#REF!="Catastrófico"),CONCATENATE("R5C",'MAPA CORRUPCION'!#REF!),"")</f>
        <v>#REF!</v>
      </c>
      <c r="AJ50" s="21" t="e">
        <f>IF(AND('MAPA CORRUPCION'!#REF!="Muy Baja",'MAPA CORRUPCION'!#REF!="Catastrófico"),CONCATENATE("R5C",'MAPA CORRUPCION'!#REF!),"")</f>
        <v>#REF!</v>
      </c>
      <c r="AK50" s="21" t="e">
        <f>IF(AND('MAPA CORRUPCION'!#REF!="Muy Baja",'MAPA CORRUPCION'!#REF!="Catastrófico"),CONCATENATE("R5C",'MAPA CORRUPCION'!#REF!),"")</f>
        <v>#REF!</v>
      </c>
      <c r="AL50" s="21" t="e">
        <f>IF(AND('MAPA CORRUPCION'!#REF!="Muy Baja",'MAPA CORRUPCION'!#REF!="Catastrófico"),CONCATENATE("R5C",'MAPA CORRUPCION'!#REF!),"")</f>
        <v>#REF!</v>
      </c>
      <c r="AM50" s="22" t="e">
        <f>IF(AND('MAPA CORRUPCION'!#REF!="Muy Baja",'MAPA CORRUPCION'!#REF!="Catastrófico"),CONCATENATE("R5C",'MAPA CORRUPCION'!#REF!),"")</f>
        <v>#REF!</v>
      </c>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row>
    <row r="51" spans="1:80" ht="15" customHeight="1" x14ac:dyDescent="0.25">
      <c r="A51" s="49"/>
      <c r="B51" s="296"/>
      <c r="C51" s="296"/>
      <c r="D51" s="297"/>
      <c r="E51" s="397"/>
      <c r="F51" s="398"/>
      <c r="G51" s="398"/>
      <c r="H51" s="398"/>
      <c r="I51" s="413"/>
      <c r="J51" s="42" t="e">
        <f>IF(AND('MAPA CORRUPCION'!#REF!="Muy Baja",'MAPA CORRUPCION'!#REF!="Leve"),CONCATENATE("R6C",'MAPA CORRUPCION'!#REF!),"")</f>
        <v>#REF!</v>
      </c>
      <c r="K51" s="43" t="e">
        <f>IF(AND('MAPA CORRUPCION'!#REF!="Muy Baja",'MAPA CORRUPCION'!#REF!="Leve"),CONCATENATE("R6C",'MAPA CORRUPCION'!#REF!),"")</f>
        <v>#REF!</v>
      </c>
      <c r="L51" s="43" t="e">
        <f>IF(AND('MAPA CORRUPCION'!#REF!="Muy Baja",'MAPA CORRUPCION'!#REF!="Leve"),CONCATENATE("R6C",'MAPA CORRUPCION'!#REF!),"")</f>
        <v>#REF!</v>
      </c>
      <c r="M51" s="43" t="e">
        <f>IF(AND('MAPA CORRUPCION'!#REF!="Muy Baja",'MAPA CORRUPCION'!#REF!="Leve"),CONCATENATE("R6C",'MAPA CORRUPCION'!#REF!),"")</f>
        <v>#REF!</v>
      </c>
      <c r="N51" s="43" t="e">
        <f>IF(AND('MAPA CORRUPCION'!#REF!="Muy Baja",'MAPA CORRUPCION'!#REF!="Leve"),CONCATENATE("R6C",'MAPA CORRUPCION'!#REF!),"")</f>
        <v>#REF!</v>
      </c>
      <c r="O51" s="44" t="e">
        <f>IF(AND('MAPA CORRUPCION'!#REF!="Muy Baja",'MAPA CORRUPCION'!#REF!="Leve"),CONCATENATE("R6C",'MAPA CORRUPCION'!#REF!),"")</f>
        <v>#REF!</v>
      </c>
      <c r="P51" s="42" t="e">
        <f>IF(AND('MAPA CORRUPCION'!#REF!="Muy Baja",'MAPA CORRUPCION'!#REF!="Menor"),CONCATENATE("R6C",'MAPA CORRUPCION'!#REF!),"")</f>
        <v>#REF!</v>
      </c>
      <c r="Q51" s="43" t="e">
        <f>IF(AND('MAPA CORRUPCION'!#REF!="Muy Baja",'MAPA CORRUPCION'!#REF!="Menor"),CONCATENATE("R6C",'MAPA CORRUPCION'!#REF!),"")</f>
        <v>#REF!</v>
      </c>
      <c r="R51" s="43" t="e">
        <f>IF(AND('MAPA CORRUPCION'!#REF!="Muy Baja",'MAPA CORRUPCION'!#REF!="Menor"),CONCATENATE("R6C",'MAPA CORRUPCION'!#REF!),"")</f>
        <v>#REF!</v>
      </c>
      <c r="S51" s="43" t="e">
        <f>IF(AND('MAPA CORRUPCION'!#REF!="Muy Baja",'MAPA CORRUPCION'!#REF!="Menor"),CONCATENATE("R6C",'MAPA CORRUPCION'!#REF!),"")</f>
        <v>#REF!</v>
      </c>
      <c r="T51" s="43" t="e">
        <f>IF(AND('MAPA CORRUPCION'!#REF!="Muy Baja",'MAPA CORRUPCION'!#REF!="Menor"),CONCATENATE("R6C",'MAPA CORRUPCION'!#REF!),"")</f>
        <v>#REF!</v>
      </c>
      <c r="U51" s="44" t="e">
        <f>IF(AND('MAPA CORRUPCION'!#REF!="Muy Baja",'MAPA CORRUPCION'!#REF!="Menor"),CONCATENATE("R6C",'MAPA CORRUPCION'!#REF!),"")</f>
        <v>#REF!</v>
      </c>
      <c r="V51" s="33" t="e">
        <f>IF(AND('MAPA CORRUPCION'!#REF!="Muy Baja",'MAPA CORRUPCION'!#REF!="Moderado"),CONCATENATE("R6C",'MAPA CORRUPCION'!#REF!),"")</f>
        <v>#REF!</v>
      </c>
      <c r="W51" s="34" t="e">
        <f>IF(AND('MAPA CORRUPCION'!#REF!="Muy Baja",'MAPA CORRUPCION'!#REF!="Moderado"),CONCATENATE("R6C",'MAPA CORRUPCION'!#REF!),"")</f>
        <v>#REF!</v>
      </c>
      <c r="X51" s="34" t="e">
        <f>IF(AND('MAPA CORRUPCION'!#REF!="Muy Baja",'MAPA CORRUPCION'!#REF!="Moderado"),CONCATENATE("R6C",'MAPA CORRUPCION'!#REF!),"")</f>
        <v>#REF!</v>
      </c>
      <c r="Y51" s="34" t="e">
        <f>IF(AND('MAPA CORRUPCION'!#REF!="Muy Baja",'MAPA CORRUPCION'!#REF!="Moderado"),CONCATENATE("R6C",'MAPA CORRUPCION'!#REF!),"")</f>
        <v>#REF!</v>
      </c>
      <c r="Z51" s="34" t="e">
        <f>IF(AND('MAPA CORRUPCION'!#REF!="Muy Baja",'MAPA CORRUPCION'!#REF!="Moderado"),CONCATENATE("R6C",'MAPA CORRUPCION'!#REF!),"")</f>
        <v>#REF!</v>
      </c>
      <c r="AA51" s="35" t="e">
        <f>IF(AND('MAPA CORRUPCION'!#REF!="Muy Baja",'MAPA CORRUPCION'!#REF!="Moderado"),CONCATENATE("R6C",'MAPA CORRUPCION'!#REF!),"")</f>
        <v>#REF!</v>
      </c>
      <c r="AB51" s="17" t="e">
        <f>IF(AND('MAPA CORRUPCION'!#REF!="Muy Baja",'MAPA CORRUPCION'!#REF!="Mayor"),CONCATENATE("R6C",'MAPA CORRUPCION'!#REF!),"")</f>
        <v>#REF!</v>
      </c>
      <c r="AC51" s="18" t="e">
        <f>IF(AND('MAPA CORRUPCION'!#REF!="Muy Baja",'MAPA CORRUPCION'!#REF!="Mayor"),CONCATENATE("R6C",'MAPA CORRUPCION'!#REF!),"")</f>
        <v>#REF!</v>
      </c>
      <c r="AD51" s="23" t="e">
        <f>IF(AND('MAPA CORRUPCION'!#REF!="Muy Baja",'MAPA CORRUPCION'!#REF!="Mayor"),CONCATENATE("R6C",'MAPA CORRUPCION'!#REF!),"")</f>
        <v>#REF!</v>
      </c>
      <c r="AE51" s="23" t="e">
        <f>IF(AND('MAPA CORRUPCION'!#REF!="Muy Baja",'MAPA CORRUPCION'!#REF!="Mayor"),CONCATENATE("R6C",'MAPA CORRUPCION'!#REF!),"")</f>
        <v>#REF!</v>
      </c>
      <c r="AF51" s="23" t="e">
        <f>IF(AND('MAPA CORRUPCION'!#REF!="Muy Baja",'MAPA CORRUPCION'!#REF!="Mayor"),CONCATENATE("R6C",'MAPA CORRUPCION'!#REF!),"")</f>
        <v>#REF!</v>
      </c>
      <c r="AG51" s="19" t="e">
        <f>IF(AND('MAPA CORRUPCION'!#REF!="Muy Baja",'MAPA CORRUPCION'!#REF!="Mayor"),CONCATENATE("R6C",'MAPA CORRUPCION'!#REF!),"")</f>
        <v>#REF!</v>
      </c>
      <c r="AH51" s="20" t="e">
        <f>IF(AND('MAPA CORRUPCION'!#REF!="Muy Baja",'MAPA CORRUPCION'!#REF!="Catastrófico"),CONCATENATE("R6C",'MAPA CORRUPCION'!#REF!),"")</f>
        <v>#REF!</v>
      </c>
      <c r="AI51" s="21" t="e">
        <f>IF(AND('MAPA CORRUPCION'!#REF!="Muy Baja",'MAPA CORRUPCION'!#REF!="Catastrófico"),CONCATENATE("R6C",'MAPA CORRUPCION'!#REF!),"")</f>
        <v>#REF!</v>
      </c>
      <c r="AJ51" s="21" t="e">
        <f>IF(AND('MAPA CORRUPCION'!#REF!="Muy Baja",'MAPA CORRUPCION'!#REF!="Catastrófico"),CONCATENATE("R6C",'MAPA CORRUPCION'!#REF!),"")</f>
        <v>#REF!</v>
      </c>
      <c r="AK51" s="21" t="e">
        <f>IF(AND('MAPA CORRUPCION'!#REF!="Muy Baja",'MAPA CORRUPCION'!#REF!="Catastrófico"),CONCATENATE("R6C",'MAPA CORRUPCION'!#REF!),"")</f>
        <v>#REF!</v>
      </c>
      <c r="AL51" s="21" t="e">
        <f>IF(AND('MAPA CORRUPCION'!#REF!="Muy Baja",'MAPA CORRUPCION'!#REF!="Catastrófico"),CONCATENATE("R6C",'MAPA CORRUPCION'!#REF!),"")</f>
        <v>#REF!</v>
      </c>
      <c r="AM51" s="22" t="e">
        <f>IF(AND('MAPA CORRUPCION'!#REF!="Muy Baja",'MAPA CORRUPCION'!#REF!="Catastrófico"),CONCATENATE("R6C",'MAPA CORRUPCION'!#REF!),"")</f>
        <v>#REF!</v>
      </c>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row>
    <row r="52" spans="1:80" ht="15" customHeight="1" x14ac:dyDescent="0.25">
      <c r="A52" s="49"/>
      <c r="B52" s="296"/>
      <c r="C52" s="296"/>
      <c r="D52" s="297"/>
      <c r="E52" s="397"/>
      <c r="F52" s="398"/>
      <c r="G52" s="398"/>
      <c r="H52" s="398"/>
      <c r="I52" s="413"/>
      <c r="J52" s="42" t="e">
        <f>IF(AND('MAPA CORRUPCION'!#REF!="Muy Baja",'MAPA CORRUPCION'!#REF!="Leve"),CONCATENATE("R7C",'MAPA CORRUPCION'!#REF!),"")</f>
        <v>#REF!</v>
      </c>
      <c r="K52" s="43" t="e">
        <f>IF(AND('MAPA CORRUPCION'!#REF!="Muy Baja",'MAPA CORRUPCION'!#REF!="Leve"),CONCATENATE("R7C",'MAPA CORRUPCION'!#REF!),"")</f>
        <v>#REF!</v>
      </c>
      <c r="L52" s="43" t="e">
        <f>IF(AND('MAPA CORRUPCION'!#REF!="Muy Baja",'MAPA CORRUPCION'!#REF!="Leve"),CONCATENATE("R7C",'MAPA CORRUPCION'!#REF!),"")</f>
        <v>#REF!</v>
      </c>
      <c r="M52" s="43" t="e">
        <f>IF(AND('MAPA CORRUPCION'!#REF!="Muy Baja",'MAPA CORRUPCION'!#REF!="Leve"),CONCATENATE("R7C",'MAPA CORRUPCION'!#REF!),"")</f>
        <v>#REF!</v>
      </c>
      <c r="N52" s="43" t="e">
        <f>IF(AND('MAPA CORRUPCION'!#REF!="Muy Baja",'MAPA CORRUPCION'!#REF!="Leve"),CONCATENATE("R7C",'MAPA CORRUPCION'!#REF!),"")</f>
        <v>#REF!</v>
      </c>
      <c r="O52" s="44" t="e">
        <f>IF(AND('MAPA CORRUPCION'!#REF!="Muy Baja",'MAPA CORRUPCION'!#REF!="Leve"),CONCATENATE("R7C",'MAPA CORRUPCION'!#REF!),"")</f>
        <v>#REF!</v>
      </c>
      <c r="P52" s="42" t="e">
        <f>IF(AND('MAPA CORRUPCION'!#REF!="Muy Baja",'MAPA CORRUPCION'!#REF!="Menor"),CONCATENATE("R7C",'MAPA CORRUPCION'!#REF!),"")</f>
        <v>#REF!</v>
      </c>
      <c r="Q52" s="43" t="e">
        <f>IF(AND('MAPA CORRUPCION'!#REF!="Muy Baja",'MAPA CORRUPCION'!#REF!="Menor"),CONCATENATE("R7C",'MAPA CORRUPCION'!#REF!),"")</f>
        <v>#REF!</v>
      </c>
      <c r="R52" s="43" t="e">
        <f>IF(AND('MAPA CORRUPCION'!#REF!="Muy Baja",'MAPA CORRUPCION'!#REF!="Menor"),CONCATENATE("R7C",'MAPA CORRUPCION'!#REF!),"")</f>
        <v>#REF!</v>
      </c>
      <c r="S52" s="43" t="e">
        <f>IF(AND('MAPA CORRUPCION'!#REF!="Muy Baja",'MAPA CORRUPCION'!#REF!="Menor"),CONCATENATE("R7C",'MAPA CORRUPCION'!#REF!),"")</f>
        <v>#REF!</v>
      </c>
      <c r="T52" s="43" t="e">
        <f>IF(AND('MAPA CORRUPCION'!#REF!="Muy Baja",'MAPA CORRUPCION'!#REF!="Menor"),CONCATENATE("R7C",'MAPA CORRUPCION'!#REF!),"")</f>
        <v>#REF!</v>
      </c>
      <c r="U52" s="44" t="e">
        <f>IF(AND('MAPA CORRUPCION'!#REF!="Muy Baja",'MAPA CORRUPCION'!#REF!="Menor"),CONCATENATE("R7C",'MAPA CORRUPCION'!#REF!),"")</f>
        <v>#REF!</v>
      </c>
      <c r="V52" s="33" t="e">
        <f>IF(AND('MAPA CORRUPCION'!#REF!="Muy Baja",'MAPA CORRUPCION'!#REF!="Moderado"),CONCATENATE("R7C",'MAPA CORRUPCION'!#REF!),"")</f>
        <v>#REF!</v>
      </c>
      <c r="W52" s="34" t="e">
        <f>IF(AND('MAPA CORRUPCION'!#REF!="Muy Baja",'MAPA CORRUPCION'!#REF!="Moderado"),CONCATENATE("R7C",'MAPA CORRUPCION'!#REF!),"")</f>
        <v>#REF!</v>
      </c>
      <c r="X52" s="34" t="e">
        <f>IF(AND('MAPA CORRUPCION'!#REF!="Muy Baja",'MAPA CORRUPCION'!#REF!="Moderado"),CONCATENATE("R7C",'MAPA CORRUPCION'!#REF!),"")</f>
        <v>#REF!</v>
      </c>
      <c r="Y52" s="34" t="e">
        <f>IF(AND('MAPA CORRUPCION'!#REF!="Muy Baja",'MAPA CORRUPCION'!#REF!="Moderado"),CONCATENATE("R7C",'MAPA CORRUPCION'!#REF!),"")</f>
        <v>#REF!</v>
      </c>
      <c r="Z52" s="34" t="e">
        <f>IF(AND('MAPA CORRUPCION'!#REF!="Muy Baja",'MAPA CORRUPCION'!#REF!="Moderado"),CONCATENATE("R7C",'MAPA CORRUPCION'!#REF!),"")</f>
        <v>#REF!</v>
      </c>
      <c r="AA52" s="35" t="e">
        <f>IF(AND('MAPA CORRUPCION'!#REF!="Muy Baja",'MAPA CORRUPCION'!#REF!="Moderado"),CONCATENATE("R7C",'MAPA CORRUPCION'!#REF!),"")</f>
        <v>#REF!</v>
      </c>
      <c r="AB52" s="17" t="e">
        <f>IF(AND('MAPA CORRUPCION'!#REF!="Muy Baja",'MAPA CORRUPCION'!#REF!="Mayor"),CONCATENATE("R7C",'MAPA CORRUPCION'!#REF!),"")</f>
        <v>#REF!</v>
      </c>
      <c r="AC52" s="18" t="e">
        <f>IF(AND('MAPA CORRUPCION'!#REF!="Muy Baja",'MAPA CORRUPCION'!#REF!="Mayor"),CONCATENATE("R7C",'MAPA CORRUPCION'!#REF!),"")</f>
        <v>#REF!</v>
      </c>
      <c r="AD52" s="23" t="e">
        <f>IF(AND('MAPA CORRUPCION'!#REF!="Muy Baja",'MAPA CORRUPCION'!#REF!="Mayor"),CONCATENATE("R7C",'MAPA CORRUPCION'!#REF!),"")</f>
        <v>#REF!</v>
      </c>
      <c r="AE52" s="23" t="e">
        <f>IF(AND('MAPA CORRUPCION'!#REF!="Muy Baja",'MAPA CORRUPCION'!#REF!="Mayor"),CONCATENATE("R7C",'MAPA CORRUPCION'!#REF!),"")</f>
        <v>#REF!</v>
      </c>
      <c r="AF52" s="23" t="e">
        <f>IF(AND('MAPA CORRUPCION'!#REF!="Muy Baja",'MAPA CORRUPCION'!#REF!="Mayor"),CONCATENATE("R7C",'MAPA CORRUPCION'!#REF!),"")</f>
        <v>#REF!</v>
      </c>
      <c r="AG52" s="19" t="e">
        <f>IF(AND('MAPA CORRUPCION'!#REF!="Muy Baja",'MAPA CORRUPCION'!#REF!="Mayor"),CONCATENATE("R7C",'MAPA CORRUPCION'!#REF!),"")</f>
        <v>#REF!</v>
      </c>
      <c r="AH52" s="20" t="e">
        <f>IF(AND('MAPA CORRUPCION'!#REF!="Muy Baja",'MAPA CORRUPCION'!#REF!="Catastrófico"),CONCATENATE("R7C",'MAPA CORRUPCION'!#REF!),"")</f>
        <v>#REF!</v>
      </c>
      <c r="AI52" s="21" t="e">
        <f>IF(AND('MAPA CORRUPCION'!#REF!="Muy Baja",'MAPA CORRUPCION'!#REF!="Catastrófico"),CONCATENATE("R7C",'MAPA CORRUPCION'!#REF!),"")</f>
        <v>#REF!</v>
      </c>
      <c r="AJ52" s="21" t="e">
        <f>IF(AND('MAPA CORRUPCION'!#REF!="Muy Baja",'MAPA CORRUPCION'!#REF!="Catastrófico"),CONCATENATE("R7C",'MAPA CORRUPCION'!#REF!),"")</f>
        <v>#REF!</v>
      </c>
      <c r="AK52" s="21" t="e">
        <f>IF(AND('MAPA CORRUPCION'!#REF!="Muy Baja",'MAPA CORRUPCION'!#REF!="Catastrófico"),CONCATENATE("R7C",'MAPA CORRUPCION'!#REF!),"")</f>
        <v>#REF!</v>
      </c>
      <c r="AL52" s="21" t="e">
        <f>IF(AND('MAPA CORRUPCION'!#REF!="Muy Baja",'MAPA CORRUPCION'!#REF!="Catastrófico"),CONCATENATE("R7C",'MAPA CORRUPCION'!#REF!),"")</f>
        <v>#REF!</v>
      </c>
      <c r="AM52" s="22" t="e">
        <f>IF(AND('MAPA CORRUPCION'!#REF!="Muy Baja",'MAPA CORRUPCION'!#REF!="Catastrófico"),CONCATENATE("R7C",'MAPA CORRUPCION'!#REF!),"")</f>
        <v>#REF!</v>
      </c>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row>
    <row r="53" spans="1:80" ht="15" customHeight="1" x14ac:dyDescent="0.25">
      <c r="A53" s="49"/>
      <c r="B53" s="296"/>
      <c r="C53" s="296"/>
      <c r="D53" s="297"/>
      <c r="E53" s="397"/>
      <c r="F53" s="398"/>
      <c r="G53" s="398"/>
      <c r="H53" s="398"/>
      <c r="I53" s="413"/>
      <c r="J53" s="42" t="e">
        <f>IF(AND('MAPA CORRUPCION'!#REF!="Muy Baja",'MAPA CORRUPCION'!#REF!="Leve"),CONCATENATE("R8C",'MAPA CORRUPCION'!#REF!),"")</f>
        <v>#REF!</v>
      </c>
      <c r="K53" s="43" t="e">
        <f>IF(AND('MAPA CORRUPCION'!#REF!="Muy Baja",'MAPA CORRUPCION'!#REF!="Leve"),CONCATENATE("R8C",'MAPA CORRUPCION'!#REF!),"")</f>
        <v>#REF!</v>
      </c>
      <c r="L53" s="43" t="e">
        <f>IF(AND('MAPA CORRUPCION'!#REF!="Muy Baja",'MAPA CORRUPCION'!#REF!="Leve"),CONCATENATE("R8C",'MAPA CORRUPCION'!#REF!),"")</f>
        <v>#REF!</v>
      </c>
      <c r="M53" s="43" t="e">
        <f>IF(AND('MAPA CORRUPCION'!#REF!="Muy Baja",'MAPA CORRUPCION'!#REF!="Leve"),CONCATENATE("R8C",'MAPA CORRUPCION'!#REF!),"")</f>
        <v>#REF!</v>
      </c>
      <c r="N53" s="43" t="e">
        <f>IF(AND('MAPA CORRUPCION'!#REF!="Muy Baja",'MAPA CORRUPCION'!#REF!="Leve"),CONCATENATE("R8C",'MAPA CORRUPCION'!#REF!),"")</f>
        <v>#REF!</v>
      </c>
      <c r="O53" s="44" t="e">
        <f>IF(AND('MAPA CORRUPCION'!#REF!="Muy Baja",'MAPA CORRUPCION'!#REF!="Leve"),CONCATENATE("R8C",'MAPA CORRUPCION'!#REF!),"")</f>
        <v>#REF!</v>
      </c>
      <c r="P53" s="42" t="e">
        <f>IF(AND('MAPA CORRUPCION'!#REF!="Muy Baja",'MAPA CORRUPCION'!#REF!="Menor"),CONCATENATE("R8C",'MAPA CORRUPCION'!#REF!),"")</f>
        <v>#REF!</v>
      </c>
      <c r="Q53" s="43" t="e">
        <f>IF(AND('MAPA CORRUPCION'!#REF!="Muy Baja",'MAPA CORRUPCION'!#REF!="Menor"),CONCATENATE("R8C",'MAPA CORRUPCION'!#REF!),"")</f>
        <v>#REF!</v>
      </c>
      <c r="R53" s="43" t="e">
        <f>IF(AND('MAPA CORRUPCION'!#REF!="Muy Baja",'MAPA CORRUPCION'!#REF!="Menor"),CONCATENATE("R8C",'MAPA CORRUPCION'!#REF!),"")</f>
        <v>#REF!</v>
      </c>
      <c r="S53" s="43" t="e">
        <f>IF(AND('MAPA CORRUPCION'!#REF!="Muy Baja",'MAPA CORRUPCION'!#REF!="Menor"),CONCATENATE("R8C",'MAPA CORRUPCION'!#REF!),"")</f>
        <v>#REF!</v>
      </c>
      <c r="T53" s="43" t="e">
        <f>IF(AND('MAPA CORRUPCION'!#REF!="Muy Baja",'MAPA CORRUPCION'!#REF!="Menor"),CONCATENATE("R8C",'MAPA CORRUPCION'!#REF!),"")</f>
        <v>#REF!</v>
      </c>
      <c r="U53" s="44" t="e">
        <f>IF(AND('MAPA CORRUPCION'!#REF!="Muy Baja",'MAPA CORRUPCION'!#REF!="Menor"),CONCATENATE("R8C",'MAPA CORRUPCION'!#REF!),"")</f>
        <v>#REF!</v>
      </c>
      <c r="V53" s="33" t="e">
        <f>IF(AND('MAPA CORRUPCION'!#REF!="Muy Baja",'MAPA CORRUPCION'!#REF!="Moderado"),CONCATENATE("R8C",'MAPA CORRUPCION'!#REF!),"")</f>
        <v>#REF!</v>
      </c>
      <c r="W53" s="34" t="e">
        <f>IF(AND('MAPA CORRUPCION'!#REF!="Muy Baja",'MAPA CORRUPCION'!#REF!="Moderado"),CONCATENATE("R8C",'MAPA CORRUPCION'!#REF!),"")</f>
        <v>#REF!</v>
      </c>
      <c r="X53" s="34" t="e">
        <f>IF(AND('MAPA CORRUPCION'!#REF!="Muy Baja",'MAPA CORRUPCION'!#REF!="Moderado"),CONCATENATE("R8C",'MAPA CORRUPCION'!#REF!),"")</f>
        <v>#REF!</v>
      </c>
      <c r="Y53" s="34" t="e">
        <f>IF(AND('MAPA CORRUPCION'!#REF!="Muy Baja",'MAPA CORRUPCION'!#REF!="Moderado"),CONCATENATE("R8C",'MAPA CORRUPCION'!#REF!),"")</f>
        <v>#REF!</v>
      </c>
      <c r="Z53" s="34" t="e">
        <f>IF(AND('MAPA CORRUPCION'!#REF!="Muy Baja",'MAPA CORRUPCION'!#REF!="Moderado"),CONCATENATE("R8C",'MAPA CORRUPCION'!#REF!),"")</f>
        <v>#REF!</v>
      </c>
      <c r="AA53" s="35" t="e">
        <f>IF(AND('MAPA CORRUPCION'!#REF!="Muy Baja",'MAPA CORRUPCION'!#REF!="Moderado"),CONCATENATE("R8C",'MAPA CORRUPCION'!#REF!),"")</f>
        <v>#REF!</v>
      </c>
      <c r="AB53" s="17" t="e">
        <f>IF(AND('MAPA CORRUPCION'!#REF!="Muy Baja",'MAPA CORRUPCION'!#REF!="Mayor"),CONCATENATE("R8C",'MAPA CORRUPCION'!#REF!),"")</f>
        <v>#REF!</v>
      </c>
      <c r="AC53" s="18" t="e">
        <f>IF(AND('MAPA CORRUPCION'!#REF!="Muy Baja",'MAPA CORRUPCION'!#REF!="Mayor"),CONCATENATE("R8C",'MAPA CORRUPCION'!#REF!),"")</f>
        <v>#REF!</v>
      </c>
      <c r="AD53" s="23" t="e">
        <f>IF(AND('MAPA CORRUPCION'!#REF!="Muy Baja",'MAPA CORRUPCION'!#REF!="Mayor"),CONCATENATE("R8C",'MAPA CORRUPCION'!#REF!),"")</f>
        <v>#REF!</v>
      </c>
      <c r="AE53" s="23" t="e">
        <f>IF(AND('MAPA CORRUPCION'!#REF!="Muy Baja",'MAPA CORRUPCION'!#REF!="Mayor"),CONCATENATE("R8C",'MAPA CORRUPCION'!#REF!),"")</f>
        <v>#REF!</v>
      </c>
      <c r="AF53" s="23" t="e">
        <f>IF(AND('MAPA CORRUPCION'!#REF!="Muy Baja",'MAPA CORRUPCION'!#REF!="Mayor"),CONCATENATE("R8C",'MAPA CORRUPCION'!#REF!),"")</f>
        <v>#REF!</v>
      </c>
      <c r="AG53" s="19" t="e">
        <f>IF(AND('MAPA CORRUPCION'!#REF!="Muy Baja",'MAPA CORRUPCION'!#REF!="Mayor"),CONCATENATE("R8C",'MAPA CORRUPCION'!#REF!),"")</f>
        <v>#REF!</v>
      </c>
      <c r="AH53" s="20" t="e">
        <f>IF(AND('MAPA CORRUPCION'!#REF!="Muy Baja",'MAPA CORRUPCION'!#REF!="Catastrófico"),CONCATENATE("R8C",'MAPA CORRUPCION'!#REF!),"")</f>
        <v>#REF!</v>
      </c>
      <c r="AI53" s="21" t="e">
        <f>IF(AND('MAPA CORRUPCION'!#REF!="Muy Baja",'MAPA CORRUPCION'!#REF!="Catastrófico"),CONCATENATE("R8C",'MAPA CORRUPCION'!#REF!),"")</f>
        <v>#REF!</v>
      </c>
      <c r="AJ53" s="21" t="e">
        <f>IF(AND('MAPA CORRUPCION'!#REF!="Muy Baja",'MAPA CORRUPCION'!#REF!="Catastrófico"),CONCATENATE("R8C",'MAPA CORRUPCION'!#REF!),"")</f>
        <v>#REF!</v>
      </c>
      <c r="AK53" s="21" t="e">
        <f>IF(AND('MAPA CORRUPCION'!#REF!="Muy Baja",'MAPA CORRUPCION'!#REF!="Catastrófico"),CONCATENATE("R8C",'MAPA CORRUPCION'!#REF!),"")</f>
        <v>#REF!</v>
      </c>
      <c r="AL53" s="21" t="e">
        <f>IF(AND('MAPA CORRUPCION'!#REF!="Muy Baja",'MAPA CORRUPCION'!#REF!="Catastrófico"),CONCATENATE("R8C",'MAPA CORRUPCION'!#REF!),"")</f>
        <v>#REF!</v>
      </c>
      <c r="AM53" s="22" t="e">
        <f>IF(AND('MAPA CORRUPCION'!#REF!="Muy Baja",'MAPA CORRUPCION'!#REF!="Catastrófico"),CONCATENATE("R8C",'MAPA CORRUPCION'!#REF!),"")</f>
        <v>#REF!</v>
      </c>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row>
    <row r="54" spans="1:80" ht="15" customHeight="1" x14ac:dyDescent="0.25">
      <c r="A54" s="49"/>
      <c r="B54" s="296"/>
      <c r="C54" s="296"/>
      <c r="D54" s="297"/>
      <c r="E54" s="397"/>
      <c r="F54" s="398"/>
      <c r="G54" s="398"/>
      <c r="H54" s="398"/>
      <c r="I54" s="413"/>
      <c r="J54" s="42" t="e">
        <f>IF(AND('MAPA CORRUPCION'!#REF!="Muy Baja",'MAPA CORRUPCION'!#REF!="Leve"),CONCATENATE("R9C",'MAPA CORRUPCION'!#REF!),"")</f>
        <v>#REF!</v>
      </c>
      <c r="K54" s="43" t="e">
        <f>IF(AND('MAPA CORRUPCION'!#REF!="Muy Baja",'MAPA CORRUPCION'!#REF!="Leve"),CONCATENATE("R9C",'MAPA CORRUPCION'!#REF!),"")</f>
        <v>#REF!</v>
      </c>
      <c r="L54" s="43" t="e">
        <f>IF(AND('MAPA CORRUPCION'!#REF!="Muy Baja",'MAPA CORRUPCION'!#REF!="Leve"),CONCATENATE("R9C",'MAPA CORRUPCION'!#REF!),"")</f>
        <v>#REF!</v>
      </c>
      <c r="M54" s="43" t="e">
        <f>IF(AND('MAPA CORRUPCION'!#REF!="Muy Baja",'MAPA CORRUPCION'!#REF!="Leve"),CONCATENATE("R9C",'MAPA CORRUPCION'!#REF!),"")</f>
        <v>#REF!</v>
      </c>
      <c r="N54" s="43" t="e">
        <f>IF(AND('MAPA CORRUPCION'!#REF!="Muy Baja",'MAPA CORRUPCION'!#REF!="Leve"),CONCATENATE("R9C",'MAPA CORRUPCION'!#REF!),"")</f>
        <v>#REF!</v>
      </c>
      <c r="O54" s="44" t="e">
        <f>IF(AND('MAPA CORRUPCION'!#REF!="Muy Baja",'MAPA CORRUPCION'!#REF!="Leve"),CONCATENATE("R9C",'MAPA CORRUPCION'!#REF!),"")</f>
        <v>#REF!</v>
      </c>
      <c r="P54" s="42" t="e">
        <f>IF(AND('MAPA CORRUPCION'!#REF!="Muy Baja",'MAPA CORRUPCION'!#REF!="Menor"),CONCATENATE("R9C",'MAPA CORRUPCION'!#REF!),"")</f>
        <v>#REF!</v>
      </c>
      <c r="Q54" s="43" t="e">
        <f>IF(AND('MAPA CORRUPCION'!#REF!="Muy Baja",'MAPA CORRUPCION'!#REF!="Menor"),CONCATENATE("R9C",'MAPA CORRUPCION'!#REF!),"")</f>
        <v>#REF!</v>
      </c>
      <c r="R54" s="43" t="e">
        <f>IF(AND('MAPA CORRUPCION'!#REF!="Muy Baja",'MAPA CORRUPCION'!#REF!="Menor"),CONCATENATE("R9C",'MAPA CORRUPCION'!#REF!),"")</f>
        <v>#REF!</v>
      </c>
      <c r="S54" s="43" t="e">
        <f>IF(AND('MAPA CORRUPCION'!#REF!="Muy Baja",'MAPA CORRUPCION'!#REF!="Menor"),CONCATENATE("R9C",'MAPA CORRUPCION'!#REF!),"")</f>
        <v>#REF!</v>
      </c>
      <c r="T54" s="43" t="e">
        <f>IF(AND('MAPA CORRUPCION'!#REF!="Muy Baja",'MAPA CORRUPCION'!#REF!="Menor"),CONCATENATE("R9C",'MAPA CORRUPCION'!#REF!),"")</f>
        <v>#REF!</v>
      </c>
      <c r="U54" s="44" t="e">
        <f>IF(AND('MAPA CORRUPCION'!#REF!="Muy Baja",'MAPA CORRUPCION'!#REF!="Menor"),CONCATENATE("R9C",'MAPA CORRUPCION'!#REF!),"")</f>
        <v>#REF!</v>
      </c>
      <c r="V54" s="33" t="e">
        <f>IF(AND('MAPA CORRUPCION'!#REF!="Muy Baja",'MAPA CORRUPCION'!#REF!="Moderado"),CONCATENATE("R9C",'MAPA CORRUPCION'!#REF!),"")</f>
        <v>#REF!</v>
      </c>
      <c r="W54" s="34" t="e">
        <f>IF(AND('MAPA CORRUPCION'!#REF!="Muy Baja",'MAPA CORRUPCION'!#REF!="Moderado"),CONCATENATE("R9C",'MAPA CORRUPCION'!#REF!),"")</f>
        <v>#REF!</v>
      </c>
      <c r="X54" s="34" t="e">
        <f>IF(AND('MAPA CORRUPCION'!#REF!="Muy Baja",'MAPA CORRUPCION'!#REF!="Moderado"),CONCATENATE("R9C",'MAPA CORRUPCION'!#REF!),"")</f>
        <v>#REF!</v>
      </c>
      <c r="Y54" s="34" t="e">
        <f>IF(AND('MAPA CORRUPCION'!#REF!="Muy Baja",'MAPA CORRUPCION'!#REF!="Moderado"),CONCATENATE("R9C",'MAPA CORRUPCION'!#REF!),"")</f>
        <v>#REF!</v>
      </c>
      <c r="Z54" s="34" t="e">
        <f>IF(AND('MAPA CORRUPCION'!#REF!="Muy Baja",'MAPA CORRUPCION'!#REF!="Moderado"),CONCATENATE("R9C",'MAPA CORRUPCION'!#REF!),"")</f>
        <v>#REF!</v>
      </c>
      <c r="AA54" s="35" t="e">
        <f>IF(AND('MAPA CORRUPCION'!#REF!="Muy Baja",'MAPA CORRUPCION'!#REF!="Moderado"),CONCATENATE("R9C",'MAPA CORRUPCION'!#REF!),"")</f>
        <v>#REF!</v>
      </c>
      <c r="AB54" s="17" t="e">
        <f>IF(AND('MAPA CORRUPCION'!#REF!="Muy Baja",'MAPA CORRUPCION'!#REF!="Mayor"),CONCATENATE("R9C",'MAPA CORRUPCION'!#REF!),"")</f>
        <v>#REF!</v>
      </c>
      <c r="AC54" s="18" t="e">
        <f>IF(AND('MAPA CORRUPCION'!#REF!="Muy Baja",'MAPA CORRUPCION'!#REF!="Mayor"),CONCATENATE("R9C",'MAPA CORRUPCION'!#REF!),"")</f>
        <v>#REF!</v>
      </c>
      <c r="AD54" s="23" t="e">
        <f>IF(AND('MAPA CORRUPCION'!#REF!="Muy Baja",'MAPA CORRUPCION'!#REF!="Mayor"),CONCATENATE("R9C",'MAPA CORRUPCION'!#REF!),"")</f>
        <v>#REF!</v>
      </c>
      <c r="AE54" s="23" t="e">
        <f>IF(AND('MAPA CORRUPCION'!#REF!="Muy Baja",'MAPA CORRUPCION'!#REF!="Mayor"),CONCATENATE("R9C",'MAPA CORRUPCION'!#REF!),"")</f>
        <v>#REF!</v>
      </c>
      <c r="AF54" s="23" t="e">
        <f>IF(AND('MAPA CORRUPCION'!#REF!="Muy Baja",'MAPA CORRUPCION'!#REF!="Mayor"),CONCATENATE("R9C",'MAPA CORRUPCION'!#REF!),"")</f>
        <v>#REF!</v>
      </c>
      <c r="AG54" s="19" t="e">
        <f>IF(AND('MAPA CORRUPCION'!#REF!="Muy Baja",'MAPA CORRUPCION'!#REF!="Mayor"),CONCATENATE("R9C",'MAPA CORRUPCION'!#REF!),"")</f>
        <v>#REF!</v>
      </c>
      <c r="AH54" s="20" t="e">
        <f>IF(AND('MAPA CORRUPCION'!#REF!="Muy Baja",'MAPA CORRUPCION'!#REF!="Catastrófico"),CONCATENATE("R9C",'MAPA CORRUPCION'!#REF!),"")</f>
        <v>#REF!</v>
      </c>
      <c r="AI54" s="21" t="e">
        <f>IF(AND('MAPA CORRUPCION'!#REF!="Muy Baja",'MAPA CORRUPCION'!#REF!="Catastrófico"),CONCATENATE("R9C",'MAPA CORRUPCION'!#REF!),"")</f>
        <v>#REF!</v>
      </c>
      <c r="AJ54" s="21" t="e">
        <f>IF(AND('MAPA CORRUPCION'!#REF!="Muy Baja",'MAPA CORRUPCION'!#REF!="Catastrófico"),CONCATENATE("R9C",'MAPA CORRUPCION'!#REF!),"")</f>
        <v>#REF!</v>
      </c>
      <c r="AK54" s="21" t="e">
        <f>IF(AND('MAPA CORRUPCION'!#REF!="Muy Baja",'MAPA CORRUPCION'!#REF!="Catastrófico"),CONCATENATE("R9C",'MAPA CORRUPCION'!#REF!),"")</f>
        <v>#REF!</v>
      </c>
      <c r="AL54" s="21" t="e">
        <f>IF(AND('MAPA CORRUPCION'!#REF!="Muy Baja",'MAPA CORRUPCION'!#REF!="Catastrófico"),CONCATENATE("R9C",'MAPA CORRUPCION'!#REF!),"")</f>
        <v>#REF!</v>
      </c>
      <c r="AM54" s="22" t="e">
        <f>IF(AND('MAPA CORRUPCION'!#REF!="Muy Baja",'MAPA CORRUPCION'!#REF!="Catastrófico"),CONCATENATE("R9C",'MAPA CORRUPCION'!#REF!),"")</f>
        <v>#REF!</v>
      </c>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row>
    <row r="55" spans="1:80" ht="15.75" customHeight="1" thickBot="1" x14ac:dyDescent="0.3">
      <c r="A55" s="49"/>
      <c r="B55" s="296"/>
      <c r="C55" s="296"/>
      <c r="D55" s="297"/>
      <c r="E55" s="399"/>
      <c r="F55" s="400"/>
      <c r="G55" s="400"/>
      <c r="H55" s="400"/>
      <c r="I55" s="414"/>
      <c r="J55" s="45" t="e">
        <f>IF(AND('MAPA CORRUPCION'!#REF!="Muy Baja",'MAPA CORRUPCION'!#REF!="Leve"),CONCATENATE("R10C",'MAPA CORRUPCION'!#REF!),"")</f>
        <v>#REF!</v>
      </c>
      <c r="K55" s="46" t="e">
        <f>IF(AND('MAPA CORRUPCION'!#REF!="Muy Baja",'MAPA CORRUPCION'!#REF!="Leve"),CONCATENATE("R10C",'MAPA CORRUPCION'!#REF!),"")</f>
        <v>#REF!</v>
      </c>
      <c r="L55" s="46" t="e">
        <f>IF(AND('MAPA CORRUPCION'!#REF!="Muy Baja",'MAPA CORRUPCION'!#REF!="Leve"),CONCATENATE("R10C",'MAPA CORRUPCION'!#REF!),"")</f>
        <v>#REF!</v>
      </c>
      <c r="M55" s="46" t="e">
        <f>IF(AND('MAPA CORRUPCION'!#REF!="Muy Baja",'MAPA CORRUPCION'!#REF!="Leve"),CONCATENATE("R10C",'MAPA CORRUPCION'!#REF!),"")</f>
        <v>#REF!</v>
      </c>
      <c r="N55" s="46" t="e">
        <f>IF(AND('MAPA CORRUPCION'!#REF!="Muy Baja",'MAPA CORRUPCION'!#REF!="Leve"),CONCATENATE("R10C",'MAPA CORRUPCION'!#REF!),"")</f>
        <v>#REF!</v>
      </c>
      <c r="O55" s="47" t="e">
        <f>IF(AND('MAPA CORRUPCION'!#REF!="Muy Baja",'MAPA CORRUPCION'!#REF!="Leve"),CONCATENATE("R10C",'MAPA CORRUPCION'!#REF!),"")</f>
        <v>#REF!</v>
      </c>
      <c r="P55" s="45" t="e">
        <f>IF(AND('MAPA CORRUPCION'!#REF!="Muy Baja",'MAPA CORRUPCION'!#REF!="Menor"),CONCATENATE("R10C",'MAPA CORRUPCION'!#REF!),"")</f>
        <v>#REF!</v>
      </c>
      <c r="Q55" s="46" t="e">
        <f>IF(AND('MAPA CORRUPCION'!#REF!="Muy Baja",'MAPA CORRUPCION'!#REF!="Menor"),CONCATENATE("R10C",'MAPA CORRUPCION'!#REF!),"")</f>
        <v>#REF!</v>
      </c>
      <c r="R55" s="46" t="e">
        <f>IF(AND('MAPA CORRUPCION'!#REF!="Muy Baja",'MAPA CORRUPCION'!#REF!="Menor"),CONCATENATE("R10C",'MAPA CORRUPCION'!#REF!),"")</f>
        <v>#REF!</v>
      </c>
      <c r="S55" s="46" t="e">
        <f>IF(AND('MAPA CORRUPCION'!#REF!="Muy Baja",'MAPA CORRUPCION'!#REF!="Menor"),CONCATENATE("R10C",'MAPA CORRUPCION'!#REF!),"")</f>
        <v>#REF!</v>
      </c>
      <c r="T55" s="46" t="e">
        <f>IF(AND('MAPA CORRUPCION'!#REF!="Muy Baja",'MAPA CORRUPCION'!#REF!="Menor"),CONCATENATE("R10C",'MAPA CORRUPCION'!#REF!),"")</f>
        <v>#REF!</v>
      </c>
      <c r="U55" s="47" t="e">
        <f>IF(AND('MAPA CORRUPCION'!#REF!="Muy Baja",'MAPA CORRUPCION'!#REF!="Menor"),CONCATENATE("R10C",'MAPA CORRUPCION'!#REF!),"")</f>
        <v>#REF!</v>
      </c>
      <c r="V55" s="36" t="e">
        <f>IF(AND('MAPA CORRUPCION'!#REF!="Muy Baja",'MAPA CORRUPCION'!#REF!="Moderado"),CONCATENATE("R10C",'MAPA CORRUPCION'!#REF!),"")</f>
        <v>#REF!</v>
      </c>
      <c r="W55" s="37" t="e">
        <f>IF(AND('MAPA CORRUPCION'!#REF!="Muy Baja",'MAPA CORRUPCION'!#REF!="Moderado"),CONCATENATE("R10C",'MAPA CORRUPCION'!#REF!),"")</f>
        <v>#REF!</v>
      </c>
      <c r="X55" s="37" t="e">
        <f>IF(AND('MAPA CORRUPCION'!#REF!="Muy Baja",'MAPA CORRUPCION'!#REF!="Moderado"),CONCATENATE("R10C",'MAPA CORRUPCION'!#REF!),"")</f>
        <v>#REF!</v>
      </c>
      <c r="Y55" s="37" t="e">
        <f>IF(AND('MAPA CORRUPCION'!#REF!="Muy Baja",'MAPA CORRUPCION'!#REF!="Moderado"),CONCATENATE("R10C",'MAPA CORRUPCION'!#REF!),"")</f>
        <v>#REF!</v>
      </c>
      <c r="Z55" s="37" t="e">
        <f>IF(AND('MAPA CORRUPCION'!#REF!="Muy Baja",'MAPA CORRUPCION'!#REF!="Moderado"),CONCATENATE("R10C",'MAPA CORRUPCION'!#REF!),"")</f>
        <v>#REF!</v>
      </c>
      <c r="AA55" s="38" t="e">
        <f>IF(AND('MAPA CORRUPCION'!#REF!="Muy Baja",'MAPA CORRUPCION'!#REF!="Moderado"),CONCATENATE("R10C",'MAPA CORRUPCION'!#REF!),"")</f>
        <v>#REF!</v>
      </c>
      <c r="AB55" s="24" t="e">
        <f>IF(AND('MAPA CORRUPCION'!#REF!="Muy Baja",'MAPA CORRUPCION'!#REF!="Mayor"),CONCATENATE("R10C",'MAPA CORRUPCION'!#REF!),"")</f>
        <v>#REF!</v>
      </c>
      <c r="AC55" s="25" t="e">
        <f>IF(AND('MAPA CORRUPCION'!#REF!="Muy Baja",'MAPA CORRUPCION'!#REF!="Mayor"),CONCATENATE("R10C",'MAPA CORRUPCION'!#REF!),"")</f>
        <v>#REF!</v>
      </c>
      <c r="AD55" s="25" t="e">
        <f>IF(AND('MAPA CORRUPCION'!#REF!="Muy Baja",'MAPA CORRUPCION'!#REF!="Mayor"),CONCATENATE("R10C",'MAPA CORRUPCION'!#REF!),"")</f>
        <v>#REF!</v>
      </c>
      <c r="AE55" s="25" t="e">
        <f>IF(AND('MAPA CORRUPCION'!#REF!="Muy Baja",'MAPA CORRUPCION'!#REF!="Mayor"),CONCATENATE("R10C",'MAPA CORRUPCION'!#REF!),"")</f>
        <v>#REF!</v>
      </c>
      <c r="AF55" s="25" t="e">
        <f>IF(AND('MAPA CORRUPCION'!#REF!="Muy Baja",'MAPA CORRUPCION'!#REF!="Mayor"),CONCATENATE("R10C",'MAPA CORRUPCION'!#REF!),"")</f>
        <v>#REF!</v>
      </c>
      <c r="AG55" s="26" t="e">
        <f>IF(AND('MAPA CORRUPCION'!#REF!="Muy Baja",'MAPA CORRUPCION'!#REF!="Mayor"),CONCATENATE("R10C",'MAPA CORRUPCION'!#REF!),"")</f>
        <v>#REF!</v>
      </c>
      <c r="AH55" s="27" t="e">
        <f>IF(AND('MAPA CORRUPCION'!#REF!="Muy Baja",'MAPA CORRUPCION'!#REF!="Catastrófico"),CONCATENATE("R10C",'MAPA CORRUPCION'!#REF!),"")</f>
        <v>#REF!</v>
      </c>
      <c r="AI55" s="28" t="e">
        <f>IF(AND('MAPA CORRUPCION'!#REF!="Muy Baja",'MAPA CORRUPCION'!#REF!="Catastrófico"),CONCATENATE("R10C",'MAPA CORRUPCION'!#REF!),"")</f>
        <v>#REF!</v>
      </c>
      <c r="AJ55" s="28" t="e">
        <f>IF(AND('MAPA CORRUPCION'!#REF!="Muy Baja",'MAPA CORRUPCION'!#REF!="Catastrófico"),CONCATENATE("R10C",'MAPA CORRUPCION'!#REF!),"")</f>
        <v>#REF!</v>
      </c>
      <c r="AK55" s="28" t="e">
        <f>IF(AND('MAPA CORRUPCION'!#REF!="Muy Baja",'MAPA CORRUPCION'!#REF!="Catastrófico"),CONCATENATE("R10C",'MAPA CORRUPCION'!#REF!),"")</f>
        <v>#REF!</v>
      </c>
      <c r="AL55" s="28" t="e">
        <f>IF(AND('MAPA CORRUPCION'!#REF!="Muy Baja",'MAPA CORRUPCION'!#REF!="Catastrófico"),CONCATENATE("R10C",'MAPA CORRUPCION'!#REF!),"")</f>
        <v>#REF!</v>
      </c>
      <c r="AM55" s="29" t="e">
        <f>IF(AND('MAPA CORRUPCION'!#REF!="Muy Baja",'MAPA CORRUPCION'!#REF!="Catastrófico"),CONCATENATE("R10C",'MAPA CORRUPCION'!#REF!),"")</f>
        <v>#REF!</v>
      </c>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row>
    <row r="56" spans="1:80" x14ac:dyDescent="0.25">
      <c r="A56" s="49"/>
      <c r="B56" s="49"/>
      <c r="C56" s="49"/>
      <c r="D56" s="49"/>
      <c r="E56" s="49"/>
      <c r="F56" s="49"/>
      <c r="G56" s="49"/>
      <c r="H56" s="49"/>
      <c r="I56" s="49"/>
      <c r="J56" s="393" t="s">
        <v>97</v>
      </c>
      <c r="K56" s="394"/>
      <c r="L56" s="394"/>
      <c r="M56" s="394"/>
      <c r="N56" s="394"/>
      <c r="O56" s="412"/>
      <c r="P56" s="393" t="s">
        <v>96</v>
      </c>
      <c r="Q56" s="394"/>
      <c r="R56" s="394"/>
      <c r="S56" s="394"/>
      <c r="T56" s="394"/>
      <c r="U56" s="412"/>
      <c r="V56" s="393" t="s">
        <v>95</v>
      </c>
      <c r="W56" s="394"/>
      <c r="X56" s="394"/>
      <c r="Y56" s="394"/>
      <c r="Z56" s="394"/>
      <c r="AA56" s="412"/>
      <c r="AB56" s="393" t="s">
        <v>94</v>
      </c>
      <c r="AC56" s="433"/>
      <c r="AD56" s="394"/>
      <c r="AE56" s="394"/>
      <c r="AF56" s="394"/>
      <c r="AG56" s="412"/>
      <c r="AH56" s="393" t="s">
        <v>93</v>
      </c>
      <c r="AI56" s="394"/>
      <c r="AJ56" s="394"/>
      <c r="AK56" s="394"/>
      <c r="AL56" s="394"/>
      <c r="AM56" s="412"/>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row>
    <row r="57" spans="1:80" x14ac:dyDescent="0.25">
      <c r="A57" s="49"/>
      <c r="B57" s="49"/>
      <c r="C57" s="49"/>
      <c r="D57" s="49"/>
      <c r="E57" s="49"/>
      <c r="F57" s="49"/>
      <c r="G57" s="49"/>
      <c r="H57" s="49"/>
      <c r="I57" s="49"/>
      <c r="J57" s="397"/>
      <c r="K57" s="398"/>
      <c r="L57" s="398"/>
      <c r="M57" s="398"/>
      <c r="N57" s="398"/>
      <c r="O57" s="413"/>
      <c r="P57" s="397"/>
      <c r="Q57" s="398"/>
      <c r="R57" s="398"/>
      <c r="S57" s="398"/>
      <c r="T57" s="398"/>
      <c r="U57" s="413"/>
      <c r="V57" s="397"/>
      <c r="W57" s="398"/>
      <c r="X57" s="398"/>
      <c r="Y57" s="398"/>
      <c r="Z57" s="398"/>
      <c r="AA57" s="413"/>
      <c r="AB57" s="397"/>
      <c r="AC57" s="398"/>
      <c r="AD57" s="398"/>
      <c r="AE57" s="398"/>
      <c r="AF57" s="398"/>
      <c r="AG57" s="413"/>
      <c r="AH57" s="397"/>
      <c r="AI57" s="398"/>
      <c r="AJ57" s="398"/>
      <c r="AK57" s="398"/>
      <c r="AL57" s="398"/>
      <c r="AM57" s="413"/>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row>
    <row r="58" spans="1:80" x14ac:dyDescent="0.25">
      <c r="A58" s="49"/>
      <c r="B58" s="49"/>
      <c r="C58" s="49"/>
      <c r="D58" s="49"/>
      <c r="E58" s="49"/>
      <c r="F58" s="49"/>
      <c r="G58" s="49"/>
      <c r="H58" s="49"/>
      <c r="I58" s="49"/>
      <c r="J58" s="397"/>
      <c r="K58" s="398"/>
      <c r="L58" s="398"/>
      <c r="M58" s="398"/>
      <c r="N58" s="398"/>
      <c r="O58" s="413"/>
      <c r="P58" s="397"/>
      <c r="Q58" s="398"/>
      <c r="R58" s="398"/>
      <c r="S58" s="398"/>
      <c r="T58" s="398"/>
      <c r="U58" s="413"/>
      <c r="V58" s="397"/>
      <c r="W58" s="398"/>
      <c r="X58" s="398"/>
      <c r="Y58" s="398"/>
      <c r="Z58" s="398"/>
      <c r="AA58" s="413"/>
      <c r="AB58" s="397"/>
      <c r="AC58" s="398"/>
      <c r="AD58" s="398"/>
      <c r="AE58" s="398"/>
      <c r="AF58" s="398"/>
      <c r="AG58" s="413"/>
      <c r="AH58" s="397"/>
      <c r="AI58" s="398"/>
      <c r="AJ58" s="398"/>
      <c r="AK58" s="398"/>
      <c r="AL58" s="398"/>
      <c r="AM58" s="413"/>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1:80" x14ac:dyDescent="0.25">
      <c r="A59" s="49"/>
      <c r="B59" s="49"/>
      <c r="C59" s="49"/>
      <c r="D59" s="49"/>
      <c r="E59" s="49"/>
      <c r="F59" s="49"/>
      <c r="G59" s="49"/>
      <c r="H59" s="49"/>
      <c r="I59" s="49"/>
      <c r="J59" s="397"/>
      <c r="K59" s="398"/>
      <c r="L59" s="398"/>
      <c r="M59" s="398"/>
      <c r="N59" s="398"/>
      <c r="O59" s="413"/>
      <c r="P59" s="397"/>
      <c r="Q59" s="398"/>
      <c r="R59" s="398"/>
      <c r="S59" s="398"/>
      <c r="T59" s="398"/>
      <c r="U59" s="413"/>
      <c r="V59" s="397"/>
      <c r="W59" s="398"/>
      <c r="X59" s="398"/>
      <c r="Y59" s="398"/>
      <c r="Z59" s="398"/>
      <c r="AA59" s="413"/>
      <c r="AB59" s="397"/>
      <c r="AC59" s="398"/>
      <c r="AD59" s="398"/>
      <c r="AE59" s="398"/>
      <c r="AF59" s="398"/>
      <c r="AG59" s="413"/>
      <c r="AH59" s="397"/>
      <c r="AI59" s="398"/>
      <c r="AJ59" s="398"/>
      <c r="AK59" s="398"/>
      <c r="AL59" s="398"/>
      <c r="AM59" s="413"/>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row>
    <row r="60" spans="1:80" x14ac:dyDescent="0.25">
      <c r="A60" s="49"/>
      <c r="B60" s="49"/>
      <c r="C60" s="49"/>
      <c r="D60" s="49"/>
      <c r="E60" s="49"/>
      <c r="F60" s="49"/>
      <c r="G60" s="49"/>
      <c r="H60" s="49"/>
      <c r="I60" s="49"/>
      <c r="J60" s="397"/>
      <c r="K60" s="398"/>
      <c r="L60" s="398"/>
      <c r="M60" s="398"/>
      <c r="N60" s="398"/>
      <c r="O60" s="413"/>
      <c r="P60" s="397"/>
      <c r="Q60" s="398"/>
      <c r="R60" s="398"/>
      <c r="S60" s="398"/>
      <c r="T60" s="398"/>
      <c r="U60" s="413"/>
      <c r="V60" s="397"/>
      <c r="W60" s="398"/>
      <c r="X60" s="398"/>
      <c r="Y60" s="398"/>
      <c r="Z60" s="398"/>
      <c r="AA60" s="413"/>
      <c r="AB60" s="397"/>
      <c r="AC60" s="398"/>
      <c r="AD60" s="398"/>
      <c r="AE60" s="398"/>
      <c r="AF60" s="398"/>
      <c r="AG60" s="413"/>
      <c r="AH60" s="397"/>
      <c r="AI60" s="398"/>
      <c r="AJ60" s="398"/>
      <c r="AK60" s="398"/>
      <c r="AL60" s="398"/>
      <c r="AM60" s="413"/>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1:80" ht="15.75" thickBot="1" x14ac:dyDescent="0.3">
      <c r="A61" s="49"/>
      <c r="B61" s="49"/>
      <c r="C61" s="49"/>
      <c r="D61" s="49"/>
      <c r="E61" s="49"/>
      <c r="F61" s="49"/>
      <c r="G61" s="49"/>
      <c r="H61" s="49"/>
      <c r="I61" s="49"/>
      <c r="J61" s="399"/>
      <c r="K61" s="400"/>
      <c r="L61" s="400"/>
      <c r="M61" s="400"/>
      <c r="N61" s="400"/>
      <c r="O61" s="414"/>
      <c r="P61" s="399"/>
      <c r="Q61" s="400"/>
      <c r="R61" s="400"/>
      <c r="S61" s="400"/>
      <c r="T61" s="400"/>
      <c r="U61" s="414"/>
      <c r="V61" s="399"/>
      <c r="W61" s="400"/>
      <c r="X61" s="400"/>
      <c r="Y61" s="400"/>
      <c r="Z61" s="400"/>
      <c r="AA61" s="414"/>
      <c r="AB61" s="399"/>
      <c r="AC61" s="400"/>
      <c r="AD61" s="400"/>
      <c r="AE61" s="400"/>
      <c r="AF61" s="400"/>
      <c r="AG61" s="414"/>
      <c r="AH61" s="399"/>
      <c r="AI61" s="400"/>
      <c r="AJ61" s="400"/>
      <c r="AK61" s="400"/>
      <c r="AL61" s="400"/>
      <c r="AM61" s="414"/>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row>
    <row r="62" spans="1:80" x14ac:dyDescent="0.2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row>
    <row r="63" spans="1:80" ht="15" customHeight="1" x14ac:dyDescent="0.25">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49"/>
      <c r="AV63" s="49"/>
      <c r="AW63" s="49"/>
      <c r="AX63" s="49"/>
      <c r="AY63" s="49"/>
      <c r="AZ63" s="49"/>
      <c r="BA63" s="49"/>
      <c r="BB63" s="49"/>
      <c r="BC63" s="49"/>
      <c r="BD63" s="49"/>
      <c r="BE63" s="49"/>
      <c r="BF63" s="49"/>
      <c r="BG63" s="49"/>
      <c r="BH63" s="49"/>
    </row>
    <row r="64" spans="1:80" ht="15" customHeight="1" x14ac:dyDescent="0.25">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49"/>
      <c r="AV64" s="49"/>
      <c r="AW64" s="49"/>
      <c r="AX64" s="49"/>
      <c r="AY64" s="49"/>
      <c r="AZ64" s="49"/>
      <c r="BA64" s="49"/>
      <c r="BB64" s="49"/>
      <c r="BC64" s="49"/>
      <c r="BD64" s="49"/>
      <c r="BE64" s="49"/>
      <c r="BF64" s="49"/>
      <c r="BG64" s="49"/>
      <c r="BH64" s="49"/>
    </row>
    <row r="65" spans="1:60" x14ac:dyDescent="0.2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row>
    <row r="66" spans="1:60" x14ac:dyDescent="0.2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row>
    <row r="67" spans="1:60" x14ac:dyDescent="0.2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row>
    <row r="68" spans="1:60"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row>
    <row r="69" spans="1:60" x14ac:dyDescent="0.2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row>
    <row r="70" spans="1:60" x14ac:dyDescent="0.2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row>
    <row r="71" spans="1:60"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row>
    <row r="72" spans="1:60"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row>
    <row r="73" spans="1:60"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row>
    <row r="74" spans="1:60"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row>
    <row r="75" spans="1:60"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row>
    <row r="76" spans="1:60"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row>
    <row r="77" spans="1:60"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row>
    <row r="78" spans="1:60" x14ac:dyDescent="0.2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row>
    <row r="79" spans="1:60"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row>
    <row r="80" spans="1:60"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row>
    <row r="81" spans="1:60"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row>
    <row r="82" spans="1:60"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row>
    <row r="83" spans="1:60"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row>
    <row r="84" spans="1:60"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row>
    <row r="85" spans="1:60"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row>
    <row r="86" spans="1:60"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row>
    <row r="87" spans="1:60"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row>
    <row r="88" spans="1:60"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row>
    <row r="89" spans="1:60"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row>
    <row r="90" spans="1:60"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row>
    <row r="91" spans="1:60"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row>
    <row r="92" spans="1:60"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row>
    <row r="93" spans="1:60"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row>
    <row r="94" spans="1:60"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row>
    <row r="95" spans="1:60"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row>
    <row r="96" spans="1:60"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row>
    <row r="97" spans="1:60" x14ac:dyDescent="0.2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row>
    <row r="98" spans="1:60" x14ac:dyDescent="0.2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row>
    <row r="99" spans="1:60" x14ac:dyDescent="0.2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row>
    <row r="100" spans="1:60" x14ac:dyDescent="0.2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row>
    <row r="101" spans="1:60" x14ac:dyDescent="0.2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row>
    <row r="102" spans="1:60" x14ac:dyDescent="0.2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row>
    <row r="103" spans="1:60" x14ac:dyDescent="0.2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row>
    <row r="104" spans="1:60" x14ac:dyDescent="0.2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row>
    <row r="105" spans="1:60" x14ac:dyDescent="0.2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row>
    <row r="106" spans="1:60" x14ac:dyDescent="0.2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row>
    <row r="107" spans="1:60" x14ac:dyDescent="0.2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row>
    <row r="108" spans="1:60" x14ac:dyDescent="0.2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row>
    <row r="109" spans="1:60" x14ac:dyDescent="0.2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row>
    <row r="110" spans="1:60" x14ac:dyDescent="0.2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row>
    <row r="111" spans="1:60" x14ac:dyDescent="0.2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row>
    <row r="112" spans="1:60" x14ac:dyDescent="0.2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row>
    <row r="113" spans="1:60" x14ac:dyDescent="0.2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row>
    <row r="114" spans="1:60" x14ac:dyDescent="0.2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row>
    <row r="115" spans="1:60" x14ac:dyDescent="0.2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row>
    <row r="116" spans="1:60" x14ac:dyDescent="0.2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row>
    <row r="117" spans="1:60" x14ac:dyDescent="0.2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row>
    <row r="118" spans="1:60" x14ac:dyDescent="0.2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row>
    <row r="119" spans="1:60" x14ac:dyDescent="0.2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row>
    <row r="120" spans="1:60" x14ac:dyDescent="0.2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row>
    <row r="121" spans="1:60" x14ac:dyDescent="0.2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row>
    <row r="122" spans="1:60" x14ac:dyDescent="0.25">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row>
    <row r="123" spans="1:60" x14ac:dyDescent="0.25">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row>
    <row r="124" spans="1:60" x14ac:dyDescent="0.2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row>
    <row r="125" spans="1:60" x14ac:dyDescent="0.2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row>
    <row r="126" spans="1:60" x14ac:dyDescent="0.2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row>
    <row r="127" spans="1:60" x14ac:dyDescent="0.2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row>
    <row r="128" spans="1:60" x14ac:dyDescent="0.2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row>
    <row r="129" spans="1:60" x14ac:dyDescent="0.2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row>
    <row r="130" spans="1:60" x14ac:dyDescent="0.2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row>
    <row r="131" spans="1:60" x14ac:dyDescent="0.2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row>
    <row r="132" spans="1:60" x14ac:dyDescent="0.2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row>
    <row r="133" spans="1:60" x14ac:dyDescent="0.2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row>
    <row r="134" spans="1:60" x14ac:dyDescent="0.2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row>
    <row r="135" spans="1:60" x14ac:dyDescent="0.2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row>
    <row r="136" spans="1:60" x14ac:dyDescent="0.2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row>
    <row r="137" spans="1:60" x14ac:dyDescent="0.2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row>
    <row r="138" spans="1:60"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row>
    <row r="139" spans="1:60"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row>
    <row r="140" spans="1:60"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row>
    <row r="141" spans="1:60"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row>
    <row r="142" spans="1:60" x14ac:dyDescent="0.2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row>
    <row r="143" spans="1:60"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row>
    <row r="144" spans="1:60"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row>
    <row r="145" spans="1:60"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row>
    <row r="146" spans="1:60"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row>
    <row r="147" spans="1:60" x14ac:dyDescent="0.2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row>
    <row r="148" spans="1:60"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row>
    <row r="149" spans="1:60"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row>
    <row r="150" spans="1:60"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row>
    <row r="151" spans="1:60"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row>
    <row r="152" spans="1:60"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row>
    <row r="153" spans="1:60"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row>
    <row r="154" spans="1:60"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row>
    <row r="155" spans="1:60"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row>
    <row r="156" spans="1:60"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row>
    <row r="157" spans="1:60"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row>
    <row r="158" spans="1:60"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row>
    <row r="159" spans="1:60" x14ac:dyDescent="0.2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row>
    <row r="160" spans="1:60" x14ac:dyDescent="0.2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row>
    <row r="161" spans="1:60" x14ac:dyDescent="0.2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row>
    <row r="162" spans="1:60" x14ac:dyDescent="0.2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row>
    <row r="163" spans="1:60" x14ac:dyDescent="0.2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row>
    <row r="164" spans="1:60" x14ac:dyDescent="0.2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row>
    <row r="165" spans="1:60" x14ac:dyDescent="0.2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row>
    <row r="166" spans="1:60" x14ac:dyDescent="0.2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row>
    <row r="167" spans="1:60" x14ac:dyDescent="0.2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row>
    <row r="168" spans="1:60" x14ac:dyDescent="0.2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row>
    <row r="169" spans="1:60" x14ac:dyDescent="0.2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row>
    <row r="170" spans="1:60" x14ac:dyDescent="0.2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row>
    <row r="171" spans="1:60" x14ac:dyDescent="0.2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row>
    <row r="172" spans="1:60" x14ac:dyDescent="0.2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row>
    <row r="173" spans="1:60" x14ac:dyDescent="0.2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row>
    <row r="174" spans="1:60" x14ac:dyDescent="0.2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row>
    <row r="175" spans="1:60" x14ac:dyDescent="0.2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row>
    <row r="176" spans="1:60" x14ac:dyDescent="0.2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row>
    <row r="177" spans="1:60" x14ac:dyDescent="0.2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row>
    <row r="178" spans="1:60" x14ac:dyDescent="0.2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row>
    <row r="179" spans="1:60" x14ac:dyDescent="0.2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row>
    <row r="180" spans="1:60" x14ac:dyDescent="0.2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row>
    <row r="181" spans="1:60" x14ac:dyDescent="0.2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row>
    <row r="182" spans="1:60" x14ac:dyDescent="0.2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row>
    <row r="183" spans="1:60" x14ac:dyDescent="0.2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row>
    <row r="184" spans="1:60" x14ac:dyDescent="0.2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row>
    <row r="185" spans="1:60" x14ac:dyDescent="0.2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row>
    <row r="186" spans="1:60" x14ac:dyDescent="0.2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row>
    <row r="187" spans="1:60" x14ac:dyDescent="0.2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row>
    <row r="188" spans="1:60" x14ac:dyDescent="0.2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row>
    <row r="189" spans="1:60" x14ac:dyDescent="0.2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row>
    <row r="190" spans="1:60" x14ac:dyDescent="0.2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row>
    <row r="191" spans="1:60" x14ac:dyDescent="0.25">
      <c r="A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row>
    <row r="192" spans="1:60" x14ac:dyDescent="0.25">
      <c r="A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row>
    <row r="193" spans="1:60" x14ac:dyDescent="0.25">
      <c r="A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row>
    <row r="194" spans="1:60" x14ac:dyDescent="0.25">
      <c r="A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row>
    <row r="195" spans="1:60" x14ac:dyDescent="0.25">
      <c r="A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row>
    <row r="196" spans="1:60" x14ac:dyDescent="0.25">
      <c r="A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row>
    <row r="197" spans="1:60" x14ac:dyDescent="0.25">
      <c r="A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row>
    <row r="198" spans="1:60" x14ac:dyDescent="0.25">
      <c r="A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row>
    <row r="199" spans="1:60" x14ac:dyDescent="0.25">
      <c r="A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row>
    <row r="200" spans="1:60" x14ac:dyDescent="0.25">
      <c r="A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row>
    <row r="201" spans="1:60" x14ac:dyDescent="0.25">
      <c r="A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row>
    <row r="202" spans="1:60" x14ac:dyDescent="0.25">
      <c r="A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row>
    <row r="203" spans="1:60" x14ac:dyDescent="0.25">
      <c r="A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row>
    <row r="204" spans="1:60" x14ac:dyDescent="0.25">
      <c r="A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row>
    <row r="205" spans="1:60" x14ac:dyDescent="0.25">
      <c r="A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row>
    <row r="206" spans="1:60" x14ac:dyDescent="0.25">
      <c r="A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row>
    <row r="207" spans="1:60" x14ac:dyDescent="0.25">
      <c r="A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row>
    <row r="208" spans="1:60" x14ac:dyDescent="0.25">
      <c r="A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row>
    <row r="209" spans="1:60" x14ac:dyDescent="0.25">
      <c r="A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row>
    <row r="210" spans="1:60" x14ac:dyDescent="0.25">
      <c r="A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row>
    <row r="211" spans="1:60" x14ac:dyDescent="0.25">
      <c r="A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row>
    <row r="212" spans="1:60" x14ac:dyDescent="0.25">
      <c r="A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row>
    <row r="213" spans="1:60" x14ac:dyDescent="0.25">
      <c r="A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row>
    <row r="214" spans="1:60" x14ac:dyDescent="0.25">
      <c r="A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row>
    <row r="215" spans="1:60" x14ac:dyDescent="0.25">
      <c r="A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row>
    <row r="216" spans="1:60" x14ac:dyDescent="0.25">
      <c r="A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row>
    <row r="217" spans="1:60" x14ac:dyDescent="0.25">
      <c r="A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row>
    <row r="218" spans="1:60" x14ac:dyDescent="0.25">
      <c r="A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row>
    <row r="219" spans="1:60" x14ac:dyDescent="0.25">
      <c r="A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row>
    <row r="220" spans="1:60" x14ac:dyDescent="0.25">
      <c r="A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row>
    <row r="221" spans="1:60" x14ac:dyDescent="0.25">
      <c r="A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row>
    <row r="222" spans="1:60" x14ac:dyDescent="0.25">
      <c r="A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row>
    <row r="223" spans="1:60" x14ac:dyDescent="0.25">
      <c r="A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row>
    <row r="224" spans="1:60" x14ac:dyDescent="0.25">
      <c r="A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row>
    <row r="225" spans="1:60" x14ac:dyDescent="0.25">
      <c r="A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row>
    <row r="226" spans="1:60" x14ac:dyDescent="0.25">
      <c r="A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row>
    <row r="227" spans="1:60" x14ac:dyDescent="0.25">
      <c r="A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row>
    <row r="228" spans="1:60" x14ac:dyDescent="0.25">
      <c r="A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row>
    <row r="229" spans="1:60" x14ac:dyDescent="0.25">
      <c r="A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row>
    <row r="230" spans="1:60" x14ac:dyDescent="0.25">
      <c r="A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row>
    <row r="231" spans="1:60" x14ac:dyDescent="0.25">
      <c r="A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row>
    <row r="232" spans="1:60" x14ac:dyDescent="0.25">
      <c r="A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row>
    <row r="233" spans="1:60" x14ac:dyDescent="0.25">
      <c r="A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row>
    <row r="234" spans="1:60" x14ac:dyDescent="0.25">
      <c r="A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row>
    <row r="235" spans="1:60" x14ac:dyDescent="0.25">
      <c r="A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row>
    <row r="236" spans="1:60" x14ac:dyDescent="0.25">
      <c r="A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row>
    <row r="237" spans="1:60" x14ac:dyDescent="0.25">
      <c r="A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row>
    <row r="238" spans="1:60" x14ac:dyDescent="0.25">
      <c r="A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row>
    <row r="239" spans="1:60" x14ac:dyDescent="0.25">
      <c r="A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row>
    <row r="240" spans="1:60" x14ac:dyDescent="0.25">
      <c r="A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row>
    <row r="241" spans="1:60" x14ac:dyDescent="0.25">
      <c r="A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row>
    <row r="242" spans="1:60" x14ac:dyDescent="0.25">
      <c r="A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row>
    <row r="243" spans="1:60" x14ac:dyDescent="0.25">
      <c r="A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row>
    <row r="244" spans="1:60" x14ac:dyDescent="0.25">
      <c r="A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row>
    <row r="245" spans="1:60" x14ac:dyDescent="0.25">
      <c r="A245" s="49"/>
    </row>
    <row r="246" spans="1:60" x14ac:dyDescent="0.25">
      <c r="A246" s="49"/>
    </row>
    <row r="247" spans="1:60" x14ac:dyDescent="0.25">
      <c r="A247" s="49"/>
    </row>
    <row r="248" spans="1:60" x14ac:dyDescent="0.25">
      <c r="A248" s="49"/>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rintOptions horizontalCentered="1"/>
  <pageMargins left="0.70866141732283472" right="0.70866141732283472" top="0.74803149606299213" bottom="0.74803149606299213" header="0.31496062992125984" footer="0.31496062992125984"/>
  <pageSetup scale="35" orientation="landscape"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3"/>
  <sheetViews>
    <sheetView zoomScaleNormal="100" workbookViewId="0">
      <selection activeCell="C4" sqref="C4"/>
    </sheetView>
  </sheetViews>
  <sheetFormatPr baseColWidth="10" defaultRowHeight="15" x14ac:dyDescent="0.25"/>
  <cols>
    <col min="1" max="1" width="62.140625" style="96" customWidth="1"/>
    <col min="2" max="2" width="70.140625" style="96" customWidth="1"/>
    <col min="3" max="3" width="56.7109375" style="96" customWidth="1"/>
    <col min="4" max="16384" width="11.42578125" style="96"/>
  </cols>
  <sheetData>
    <row r="1" spans="1:35" s="84" customFormat="1" ht="62.25" customHeight="1" x14ac:dyDescent="0.25">
      <c r="A1" s="189" t="s">
        <v>382</v>
      </c>
      <c r="B1" s="189" t="s">
        <v>383</v>
      </c>
      <c r="C1" s="189" t="s">
        <v>383</v>
      </c>
    </row>
    <row r="2" spans="1:35" ht="15.75" x14ac:dyDescent="0.25">
      <c r="A2" s="126" t="s">
        <v>52</v>
      </c>
      <c r="B2" s="126" t="s">
        <v>52</v>
      </c>
      <c r="C2" s="126" t="s">
        <v>52</v>
      </c>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35" ht="15.75" x14ac:dyDescent="0.25">
      <c r="A3" s="144" t="s">
        <v>381</v>
      </c>
      <c r="B3" s="180" t="s">
        <v>49</v>
      </c>
      <c r="C3" s="180" t="s">
        <v>4</v>
      </c>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1:35" ht="33" customHeight="1" x14ac:dyDescent="0.25">
      <c r="A4" s="181" t="s">
        <v>48</v>
      </c>
      <c r="B4" s="182" t="s">
        <v>87</v>
      </c>
      <c r="C4" s="183">
        <v>0.2</v>
      </c>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35" ht="33" customHeight="1" x14ac:dyDescent="0.25">
      <c r="A5" s="184" t="s">
        <v>50</v>
      </c>
      <c r="B5" s="182" t="s">
        <v>88</v>
      </c>
      <c r="C5" s="183">
        <v>0.4</v>
      </c>
      <c r="D5" s="84"/>
      <c r="E5" s="84"/>
      <c r="F5" s="84"/>
      <c r="G5" s="84"/>
      <c r="H5" s="84"/>
      <c r="I5" s="84"/>
      <c r="J5" s="84"/>
      <c r="K5" s="84"/>
      <c r="L5" s="84"/>
      <c r="M5" s="84"/>
      <c r="N5" s="84"/>
      <c r="O5" s="84"/>
      <c r="P5" s="84"/>
      <c r="Q5" s="84"/>
      <c r="R5" s="84"/>
      <c r="S5" s="84"/>
      <c r="T5" s="84"/>
      <c r="U5" s="84"/>
      <c r="V5" s="84"/>
      <c r="W5" s="84"/>
      <c r="X5" s="84"/>
      <c r="Y5" s="84"/>
      <c r="Z5" s="84"/>
      <c r="AA5" s="84"/>
      <c r="AB5" s="84"/>
      <c r="AC5" s="84"/>
    </row>
    <row r="6" spans="1:35" ht="33" customHeight="1" x14ac:dyDescent="0.25">
      <c r="A6" s="185" t="s">
        <v>92</v>
      </c>
      <c r="B6" s="182" t="s">
        <v>89</v>
      </c>
      <c r="C6" s="183">
        <v>0.6</v>
      </c>
      <c r="D6" s="84"/>
      <c r="E6" s="84"/>
      <c r="F6" s="84"/>
      <c r="G6" s="84"/>
      <c r="H6" s="84"/>
      <c r="I6" s="84"/>
      <c r="J6" s="84"/>
      <c r="K6" s="84"/>
      <c r="L6" s="84"/>
      <c r="M6" s="84"/>
      <c r="N6" s="84"/>
      <c r="O6" s="84"/>
      <c r="P6" s="84"/>
      <c r="Q6" s="84"/>
      <c r="R6" s="84"/>
      <c r="S6" s="84"/>
      <c r="T6" s="84"/>
      <c r="U6" s="84"/>
      <c r="V6" s="84"/>
      <c r="W6" s="84"/>
      <c r="X6" s="84"/>
      <c r="Y6" s="84"/>
      <c r="Z6" s="84"/>
      <c r="AA6" s="84"/>
      <c r="AB6" s="84"/>
      <c r="AC6" s="84"/>
    </row>
    <row r="7" spans="1:35" ht="33" customHeight="1" x14ac:dyDescent="0.25">
      <c r="A7" s="186" t="s">
        <v>6</v>
      </c>
      <c r="B7" s="182" t="s">
        <v>90</v>
      </c>
      <c r="C7" s="183">
        <v>0.8</v>
      </c>
      <c r="D7" s="84"/>
      <c r="E7" s="84"/>
      <c r="F7" s="84"/>
      <c r="G7" s="84"/>
      <c r="H7" s="84"/>
      <c r="I7" s="84"/>
      <c r="J7" s="84"/>
      <c r="K7" s="84"/>
      <c r="L7" s="84"/>
      <c r="M7" s="84"/>
      <c r="N7" s="84"/>
      <c r="O7" s="84"/>
      <c r="P7" s="84"/>
      <c r="Q7" s="84"/>
      <c r="R7" s="84"/>
      <c r="S7" s="84"/>
      <c r="T7" s="84"/>
      <c r="U7" s="84"/>
      <c r="V7" s="84"/>
      <c r="W7" s="84"/>
      <c r="X7" s="84"/>
      <c r="Y7" s="84"/>
      <c r="Z7" s="84"/>
      <c r="AA7" s="84"/>
      <c r="AB7" s="84"/>
      <c r="AC7" s="84"/>
    </row>
    <row r="8" spans="1:35" ht="33" customHeight="1" x14ac:dyDescent="0.25">
      <c r="A8" s="166" t="s">
        <v>51</v>
      </c>
      <c r="B8" s="182" t="s">
        <v>91</v>
      </c>
      <c r="C8" s="183">
        <v>1</v>
      </c>
      <c r="D8" s="84"/>
      <c r="E8" s="84"/>
      <c r="F8" s="84"/>
      <c r="G8" s="84"/>
      <c r="H8" s="84"/>
      <c r="I8" s="84"/>
      <c r="J8" s="84"/>
      <c r="K8" s="84"/>
      <c r="L8" s="84"/>
      <c r="M8" s="84"/>
      <c r="N8" s="84"/>
      <c r="O8" s="84"/>
      <c r="P8" s="84"/>
      <c r="Q8" s="84"/>
      <c r="R8" s="84"/>
      <c r="S8" s="84"/>
      <c r="T8" s="84"/>
      <c r="U8" s="84"/>
      <c r="V8" s="84"/>
      <c r="W8" s="84"/>
      <c r="X8" s="84"/>
      <c r="Y8" s="84"/>
      <c r="Z8" s="84"/>
      <c r="AA8" s="84"/>
      <c r="AB8" s="84"/>
      <c r="AC8" s="84"/>
    </row>
    <row r="9" spans="1:35" ht="84" customHeight="1" x14ac:dyDescent="0.25">
      <c r="A9" s="194" t="s">
        <v>263</v>
      </c>
      <c r="B9" s="194" t="s">
        <v>263</v>
      </c>
      <c r="C9" s="194" t="s">
        <v>263</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row>
    <row r="10" spans="1:35" ht="33" customHeight="1" x14ac:dyDescent="0.25">
      <c r="A10" s="148" t="s">
        <v>388</v>
      </c>
      <c r="B10" s="195" t="s">
        <v>390</v>
      </c>
      <c r="C10" s="196" t="s">
        <v>391</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row>
    <row r="11" spans="1:35" ht="33" customHeight="1" x14ac:dyDescent="0.25">
      <c r="A11" s="190" t="s">
        <v>386</v>
      </c>
      <c r="B11" s="190" t="s">
        <v>386</v>
      </c>
      <c r="C11" s="190" t="s">
        <v>386</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x14ac:dyDescent="0.25">
      <c r="A12" s="187"/>
      <c r="B12" s="170"/>
      <c r="C12" s="170"/>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row>
    <row r="13" spans="1:35" x14ac:dyDescent="0.25">
      <c r="A13" s="170"/>
      <c r="B13" s="170"/>
      <c r="C13" s="170"/>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row>
    <row r="14" spans="1:35" x14ac:dyDescent="0.25">
      <c r="A14" s="170"/>
      <c r="B14" s="170"/>
      <c r="C14" s="170"/>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row>
    <row r="15" spans="1:35" x14ac:dyDescent="0.25">
      <c r="A15" s="170"/>
      <c r="B15" s="170"/>
      <c r="C15" s="170"/>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6" spans="1:35" x14ac:dyDescent="0.25">
      <c r="A16" s="170"/>
      <c r="B16" s="170"/>
      <c r="C16" s="170"/>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row>
    <row r="17" spans="1:35" x14ac:dyDescent="0.25">
      <c r="A17" s="170"/>
      <c r="B17" s="170"/>
      <c r="C17" s="170"/>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5" x14ac:dyDescent="0.2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row>
    <row r="19" spans="1:35"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5"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5"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row>
    <row r="22" spans="1:35"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row>
    <row r="23" spans="1:35"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row>
    <row r="24" spans="1:35"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5"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row>
    <row r="26" spans="1:35"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5"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row>
    <row r="28" spans="1:35"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29" spans="1:35"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row>
    <row r="30" spans="1:35"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row>
    <row r="31" spans="1:35"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row>
    <row r="32" spans="1:35" x14ac:dyDescent="0.25">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row>
    <row r="33" spans="4:29" x14ac:dyDescent="0.25">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row>
  </sheetData>
  <hyperlinks>
    <hyperlink ref="C10" r:id="rId1"/>
  </hyperlinks>
  <printOptions horizontalCentered="1"/>
  <pageMargins left="0.78740157480314965" right="0.78740157480314965" top="0.78740157480314965" bottom="0.78740157480314965" header="0.31496062992125984" footer="0.31496062992125984"/>
  <pageSetup orientation="landscape" verticalDpi="597" r:id="rId2"/>
  <colBreaks count="1" manualBreakCount="1">
    <brk id="3" max="19"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MAPA GESTION</vt:lpstr>
      <vt:lpstr>Hoja2</vt:lpstr>
      <vt:lpstr>MAPA CORRUPCION</vt:lpstr>
      <vt:lpstr>Instructivo</vt:lpstr>
      <vt:lpstr>Preguntas Corrupción</vt:lpstr>
      <vt:lpstr>MAPA RIESGOS SEGURIDAD INFORMAC</vt:lpstr>
      <vt:lpstr>Matriz Calor Inherente</vt:lpstr>
      <vt:lpstr>Matriz Calor Residual</vt:lpstr>
      <vt:lpstr>Tabla probabilidad</vt:lpstr>
      <vt:lpstr>Tabla Impacto.</vt:lpstr>
      <vt:lpstr>Tabla Valoración Controles</vt:lpstr>
      <vt:lpstr>Opciones Tratamiento</vt:lpstr>
      <vt:lpstr>Hoja1</vt:lpstr>
      <vt:lpstr>Instructivo!Área_de_impresión</vt:lpstr>
      <vt:lpstr>'Preguntas Corrupción'!Área_de_impresión</vt:lpstr>
      <vt:lpstr>'Tabla Impacto.'!Área_de_impresión</vt:lpstr>
      <vt:lpstr>'Tabla probabilidad'!Área_de_impresión</vt:lpstr>
      <vt:lpstr>'Tabla Valoración Controles'!Área_de_impresión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Alexandra Briceño Sierra</cp:lastModifiedBy>
  <cp:lastPrinted>2022-01-26T19:26:54Z</cp:lastPrinted>
  <dcterms:created xsi:type="dcterms:W3CDTF">2020-03-24T23:12:47Z</dcterms:created>
  <dcterms:modified xsi:type="dcterms:W3CDTF">2022-01-31T19:44:47Z</dcterms:modified>
</cp:coreProperties>
</file>