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O:\DOCUMENTOS Y  POLITICAS\SEGURIDAD DIGITAL\DOCUMENTOS FINALES ISO 27001\RIESGOS\"/>
    </mc:Choice>
  </mc:AlternateContent>
  <bookViews>
    <workbookView xWindow="0" yWindow="0" windowWidth="2160" windowHeight="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definedNames>
    <definedName name="ADQUISICIÓN_DESARROLLO_Y_MANTENIMIENTO_DE_SISTEMAS">'Tabla Valoración controles'!$C$89:$C$91</definedName>
    <definedName name="Antes_de_asumir_el_empleo">'Tabla Valoración controles'!$D$44:$D$45</definedName>
    <definedName name="Áreas_seguras">'Tabla Valoración controles'!$D$87:$D$92</definedName>
    <definedName name="ASPECTOS_DE_SEGURIDAD_DE_LA_INFORMACIÓN_DE_LA_GESTIÓN_DE_CONTINUIDAD_DE_NEGOCIO">'Tabla Valoración controles'!$C$101:$C$102</definedName>
    <definedName name="ASPECTOS_DE_SEGURIDAD_DE_LA_INFORMACION_DE_LA_GESTIÓN_DE_CONTINUIDAD_DE_NEGOCIO.">'Tabla Valoración controles'!$C$101:$C$102</definedName>
    <definedName name="Clasificación_de_la_información">'Tabla Valoración controles'!$D$58:$D$60</definedName>
    <definedName name="Consideraciones_sobre_auditorías_de_sistemas_de_información">'Tabla Valoración controles'!$D$123</definedName>
    <definedName name="Continuidad_de_seguridad_de_la_información">'Tabla Valoración controles'!$D$165:$D$167</definedName>
    <definedName name="CONTROL_DE_ACCESO">'Tabla Valoración controles'!$C$63:$C$66</definedName>
    <definedName name="Control_de_acceso_a_sistemas_y_aplicaciones">'Tabla Valoración controles'!$D$78:$D$82</definedName>
    <definedName name="Control_de_software_operacional">'Tabla Valoración controles'!$D$118</definedName>
    <definedName name="Controles_criptográficos">'Tabla Valoración controles'!$D$84:$D$85</definedName>
    <definedName name="CONTROLG">'Tabla Valoración controles'!$C$29:$C$42</definedName>
    <definedName name="Copias_de_respaldo">'Tabla Valoración controles'!$D$111</definedName>
    <definedName name="CRIPTOGRAFÍA">'Tabla Valoración controles'!$C$69</definedName>
    <definedName name="CUMPLIMIENTO">'Tabla Valoración controles'!$C$105</definedName>
    <definedName name="Cumplimiento_de_requisitos_legales_y_contractuales">'Tabla Valoración controles'!$D$171:$D$175</definedName>
    <definedName name="Datos_de_prueba">'Tabla Valoración controles'!$D$148</definedName>
    <definedName name="Dispositivos_móviles_y_teletrabajo">'Tabla Valoración controles'!$D$41:$D$42</definedName>
    <definedName name="Durante_la_ejecución_del_empleo">'Tabla Valoración controles'!$D$47:$D$49</definedName>
    <definedName name="Equipos">'Tabla Valoración controles'!$D$94:$D$102</definedName>
    <definedName name="Gestión_de_acceso_de_usuarios">'Tabla Valoración controles'!$D$69:$D$74</definedName>
    <definedName name="GESTIÓN_DE_ACTIVOS">'Tabla Valoración controles'!$C$58:$C$60</definedName>
    <definedName name="GESTIÓN_DE_INCIDENTES_DE_SEGURIDAD_DE_LA_INFORMACIÓN">'Tabla Valoración controles'!$C$98</definedName>
    <definedName name="Gestión_de_incidentes_y_mejoras_en_la_seguridad_de_la_información">'Tabla Valoración controles'!$D$157:$D$163</definedName>
    <definedName name="Gestión_de_la_prestación_de_servicios_de_proveedores">'Tabla Valoración controles'!$D$154:$D$155</definedName>
    <definedName name="Gestión_de_la_seguridad_de_las_redes">'Tabla Valoración controles'!$D$125:$D$127</definedName>
    <definedName name="Gestión_de_la_vulnerabilidad_técnica">'Tabla Valoración controles'!$D$120:$D$121</definedName>
    <definedName name="Manejo_de_medios">'Tabla Valoración controles'!$D$62:$D$64</definedName>
    <definedName name="ORGANIZACIÓN_DE_LA_SEGURIDAD_DE_LA_INFORMACION">'Tabla Valoración controles'!$C$49:$C$50</definedName>
    <definedName name="Organización_interna">'Tabla Valoración controles'!$D$35:$D$39</definedName>
    <definedName name="Orientación_de_la_dirección_para_la_gestión_de_la_seguridad_de_la_información">'Tabla Valoración controles'!$D$32:$D$33</definedName>
    <definedName name="POLITICAS_DE_LA_SEGURIDAD_DE_LA_INFORMACIÓN">'Tabla Valoración controles'!$C$46</definedName>
    <definedName name="Procedimientos_operacionales_y_responsabilidades">'Tabla Valoración controles'!$D$104:$D$107</definedName>
    <definedName name="Protección_contra_códigos_maliciosos">'Tabla Valoración controles'!$D$109</definedName>
    <definedName name="Redundancias">'Tabla Valoración controles'!$D$169</definedName>
    <definedName name="Registro_y_seguimiento">'Tabla Valoración controles'!$D$113:$D$116</definedName>
    <definedName name="RELACIONES_CON_LOS_PROVEEDORES">'Tabla Valoración controles'!$C$94:$C$95</definedName>
    <definedName name="Requisitos_de_seguridad_de_los_sistemas_de_información">'Tabla Valoración controles'!$D$134:$D$136</definedName>
    <definedName name="Requisitos_del_negocio_para_control_de_acceso">'Tabla Valoración controles'!$D$66:$D$67</definedName>
    <definedName name="Responsabilidad_por_los_activos">'Tabla Valoración controles'!$D$53:$D$56</definedName>
    <definedName name="Responsabilidades_de_los_usuarios">'Tabla Valoración controles'!$D$76</definedName>
    <definedName name="Revisiones_de_seguridad_de_la_información">'Tabla Valoración controles'!$D$177:$D$179</definedName>
    <definedName name="Seguridad_de_la_información_en_las_relaciones_con_los_proveedores">'Tabla Valoración controles'!$D$150:$D$152</definedName>
    <definedName name="SEGURIDAD_DE_LAS_COMUNICACIONES">'Tabla Valoración controles'!$C$85:$C$86</definedName>
    <definedName name="SEGURIDAD_DE_LAS_OPERACIONES">'Tabla Valoración controles'!$C$76:$C$82</definedName>
    <definedName name="SEGURIDAD_DE_LOS_RECURSOS_HUMANOS">'Tabla Valoración controles'!$C$53:$C$55</definedName>
    <definedName name="Seguridad_en_los_procesos_de_desarrollo_y_de_soporte">'Tabla Valoración controles'!$D$138:$D$146</definedName>
    <definedName name="SEGURIDAD_FÍSICA_Y_DEL_ENTORNO">'Tabla Valoración controles'!$C$72:$C$73</definedName>
    <definedName name="Terminación_y_cambio_de_empleo">'Tabla Valoración controles'!$D$51</definedName>
    <definedName name="Transferencia_de_información">'Tabla Valoración controles'!$D$129:$D$132</definedName>
  </definedNames>
  <calcPr calcId="162913"/>
  <pivotCaches>
    <pivotCache cacheId="2" r:id="rId11"/>
  </pivotCaches>
</workbook>
</file>

<file path=xl/calcChain.xml><?xml version="1.0" encoding="utf-8"?>
<calcChain xmlns="http://schemas.openxmlformats.org/spreadsheetml/2006/main">
  <c r="AB92" i="1" l="1"/>
  <c r="AB93" i="1"/>
  <c r="AA93" i="1"/>
  <c r="AG93" i="1"/>
  <c r="AJ93" i="1"/>
  <c r="AI93" i="1"/>
  <c r="AK93" i="1"/>
  <c r="AH93" i="1"/>
  <c r="W93" i="1"/>
  <c r="AB91" i="1"/>
  <c r="AA92" i="1"/>
  <c r="AG92" i="1"/>
  <c r="AJ92" i="1"/>
  <c r="AI92" i="1"/>
  <c r="AK92" i="1"/>
  <c r="AH92" i="1"/>
  <c r="W92" i="1"/>
  <c r="AB90" i="1"/>
  <c r="AA91" i="1"/>
  <c r="AG91" i="1"/>
  <c r="AJ91" i="1"/>
  <c r="AI91" i="1"/>
  <c r="AK91" i="1"/>
  <c r="AH91" i="1"/>
  <c r="W91" i="1"/>
  <c r="AB89" i="1"/>
  <c r="W90" i="1"/>
  <c r="W89" i="1"/>
  <c r="AA89" i="1"/>
  <c r="AH89" i="1"/>
  <c r="AA90" i="1"/>
  <c r="AG90" i="1"/>
  <c r="AH90" i="1"/>
  <c r="AB88" i="1"/>
  <c r="AG89" i="1"/>
  <c r="L88" i="1"/>
  <c r="M88" i="1"/>
  <c r="W88" i="1"/>
  <c r="AA88" i="1"/>
  <c r="AG88" i="1"/>
  <c r="AH88" i="1"/>
  <c r="W78" i="1"/>
  <c r="AB78" i="1"/>
  <c r="W79" i="1"/>
  <c r="AB79" i="1"/>
  <c r="W64" i="1"/>
  <c r="W65" i="1"/>
  <c r="AB65" i="1"/>
  <c r="AA65" i="1"/>
  <c r="AG65" i="1"/>
  <c r="AH65" i="1"/>
  <c r="AJ65" i="1"/>
  <c r="AI65" i="1"/>
  <c r="W70" i="1"/>
  <c r="AB70" i="1"/>
  <c r="W71" i="1"/>
  <c r="AB71" i="1"/>
  <c r="AK65" i="1"/>
  <c r="AB87" i="1"/>
  <c r="W87" i="1"/>
  <c r="AB86" i="1"/>
  <c r="W86" i="1"/>
  <c r="AB85" i="1"/>
  <c r="W85" i="1"/>
  <c r="AB84" i="1"/>
  <c r="W84" i="1"/>
  <c r="AB83" i="1"/>
  <c r="W83" i="1"/>
  <c r="AB82" i="1"/>
  <c r="W82" i="1"/>
  <c r="L82" i="1"/>
  <c r="M82" i="1"/>
  <c r="AB81" i="1"/>
  <c r="W81" i="1"/>
  <c r="AB80" i="1"/>
  <c r="W80" i="1"/>
  <c r="AB77" i="1"/>
  <c r="W77" i="1"/>
  <c r="AB76" i="1"/>
  <c r="W76" i="1"/>
  <c r="L76" i="1"/>
  <c r="M76" i="1"/>
  <c r="AB75" i="1"/>
  <c r="W75" i="1"/>
  <c r="AB74" i="1"/>
  <c r="W74" i="1"/>
  <c r="AB73" i="1"/>
  <c r="W73" i="1"/>
  <c r="AB72" i="1"/>
  <c r="W72" i="1"/>
  <c r="AJ72" i="1"/>
  <c r="AI72" i="1"/>
  <c r="L70" i="1"/>
  <c r="M70" i="1"/>
  <c r="AA70" i="1"/>
  <c r="AH70" i="1"/>
  <c r="AA71" i="1"/>
  <c r="AB69" i="1"/>
  <c r="W69" i="1"/>
  <c r="AB68" i="1"/>
  <c r="W68" i="1"/>
  <c r="AB67" i="1"/>
  <c r="W67" i="1"/>
  <c r="AB66" i="1"/>
  <c r="W66" i="1"/>
  <c r="L64" i="1"/>
  <c r="M64" i="1"/>
  <c r="AB63" i="1"/>
  <c r="W63" i="1"/>
  <c r="AB62" i="1"/>
  <c r="W62" i="1"/>
  <c r="AB61" i="1"/>
  <c r="W61" i="1"/>
  <c r="AB60" i="1"/>
  <c r="W60" i="1"/>
  <c r="AB59" i="1"/>
  <c r="W59" i="1"/>
  <c r="AB58" i="1"/>
  <c r="W58" i="1"/>
  <c r="L58" i="1"/>
  <c r="M58" i="1"/>
  <c r="AJ63" i="1"/>
  <c r="AI63" i="1"/>
  <c r="AJ68" i="1"/>
  <c r="AI68" i="1"/>
  <c r="AA84" i="1"/>
  <c r="AH84" i="1"/>
  <c r="AJ69" i="1"/>
  <c r="AI69" i="1"/>
  <c r="AA86" i="1"/>
  <c r="AA76" i="1"/>
  <c r="AH76" i="1"/>
  <c r="AA77" i="1"/>
  <c r="AG77" i="1"/>
  <c r="AG70" i="1"/>
  <c r="AG71" i="1"/>
  <c r="AH71" i="1"/>
  <c r="AJ75" i="1"/>
  <c r="AI75" i="1"/>
  <c r="AJ67" i="1"/>
  <c r="AI67" i="1"/>
  <c r="AA74" i="1"/>
  <c r="AG74" i="1"/>
  <c r="AA83" i="1"/>
  <c r="AG83" i="1"/>
  <c r="AJ87" i="1"/>
  <c r="AI87" i="1"/>
  <c r="AJ81" i="1"/>
  <c r="AI81" i="1"/>
  <c r="AA68" i="1"/>
  <c r="AH68" i="1"/>
  <c r="AA75" i="1"/>
  <c r="AH75" i="1"/>
  <c r="AA61" i="1"/>
  <c r="AH61" i="1"/>
  <c r="AJ62" i="1"/>
  <c r="AI62" i="1"/>
  <c r="AJ73" i="1"/>
  <c r="AI73" i="1"/>
  <c r="AA69" i="1"/>
  <c r="AH69" i="1"/>
  <c r="AJ74" i="1"/>
  <c r="AI74" i="1"/>
  <c r="AA66" i="1"/>
  <c r="AG66" i="1"/>
  <c r="AJ80" i="1"/>
  <c r="AI80" i="1"/>
  <c r="AA85" i="1"/>
  <c r="AG85" i="1"/>
  <c r="AG84" i="1"/>
  <c r="AH86" i="1"/>
  <c r="AG86" i="1"/>
  <c r="AA87" i="1"/>
  <c r="AJ83" i="1"/>
  <c r="AI83" i="1"/>
  <c r="AJ84" i="1"/>
  <c r="AI84" i="1"/>
  <c r="AA82" i="1"/>
  <c r="AJ85" i="1"/>
  <c r="AI85" i="1"/>
  <c r="AJ86" i="1"/>
  <c r="AI86" i="1"/>
  <c r="AA80" i="1"/>
  <c r="AA81" i="1"/>
  <c r="AA72" i="1"/>
  <c r="AA73" i="1"/>
  <c r="AA67" i="1"/>
  <c r="AJ66" i="1"/>
  <c r="AI66" i="1"/>
  <c r="AA62" i="1"/>
  <c r="AA63" i="1"/>
  <c r="AA58" i="1"/>
  <c r="AJ61" i="1"/>
  <c r="AI61" i="1"/>
  <c r="W5" i="1"/>
  <c r="AB5" i="1"/>
  <c r="W6" i="1"/>
  <c r="AB6" i="1"/>
  <c r="AB52" i="1"/>
  <c r="AB53" i="1"/>
  <c r="AB54" i="1"/>
  <c r="AB55" i="1"/>
  <c r="AB56" i="1"/>
  <c r="AB57" i="1"/>
  <c r="L52" i="1"/>
  <c r="M52" i="1"/>
  <c r="AB46" i="1"/>
  <c r="AB47" i="1"/>
  <c r="AB48" i="1"/>
  <c r="AB49" i="1"/>
  <c r="AB50" i="1"/>
  <c r="AB51" i="1"/>
  <c r="L46" i="1"/>
  <c r="M46" i="1"/>
  <c r="AB40" i="1"/>
  <c r="AB41" i="1"/>
  <c r="AB42" i="1"/>
  <c r="AB43" i="1"/>
  <c r="AB44" i="1"/>
  <c r="AB45" i="1"/>
  <c r="L40" i="1"/>
  <c r="M40" i="1"/>
  <c r="AB34" i="1"/>
  <c r="AB35" i="1"/>
  <c r="AB36" i="1"/>
  <c r="W36" i="1"/>
  <c r="AB37" i="1"/>
  <c r="W37" i="1"/>
  <c r="AB38" i="1"/>
  <c r="W38" i="1"/>
  <c r="AB39" i="1"/>
  <c r="W35" i="1"/>
  <c r="L34" i="1"/>
  <c r="M34" i="1"/>
  <c r="W39" i="1"/>
  <c r="AB28" i="1"/>
  <c r="AB29" i="1"/>
  <c r="AB30" i="1"/>
  <c r="AB31" i="1"/>
  <c r="AB32" i="1"/>
  <c r="AB33" i="1"/>
  <c r="L28" i="1"/>
  <c r="M28" i="1"/>
  <c r="AB22" i="1"/>
  <c r="AB23" i="1"/>
  <c r="AB24" i="1"/>
  <c r="AB25" i="1"/>
  <c r="AB26" i="1"/>
  <c r="AB27" i="1"/>
  <c r="W24" i="1"/>
  <c r="L22" i="1"/>
  <c r="M22" i="1"/>
  <c r="AB16" i="1"/>
  <c r="AB17" i="1"/>
  <c r="AB18" i="1"/>
  <c r="W18" i="1"/>
  <c r="AB19" i="1"/>
  <c r="AB20" i="1"/>
  <c r="AB21" i="1"/>
  <c r="W17" i="1"/>
  <c r="L16" i="1"/>
  <c r="M16" i="1"/>
  <c r="AB11" i="1"/>
  <c r="AB10" i="1"/>
  <c r="AB12" i="1"/>
  <c r="W12" i="1"/>
  <c r="AB13" i="1"/>
  <c r="AB14" i="1"/>
  <c r="AB15" i="1"/>
  <c r="W11" i="1"/>
  <c r="L10" i="1"/>
  <c r="M10" i="1"/>
  <c r="AB4" i="1"/>
  <c r="W4" i="1"/>
  <c r="AB7" i="1"/>
  <c r="AB8" i="1"/>
  <c r="AB9" i="1"/>
  <c r="L4" i="1"/>
  <c r="M4" i="1"/>
  <c r="W7" i="1"/>
  <c r="W9" i="1"/>
  <c r="W8" i="1"/>
  <c r="F221" i="13"/>
  <c r="F211" i="13"/>
  <c r="F212" i="13"/>
  <c r="F213" i="13"/>
  <c r="F214" i="13"/>
  <c r="F215" i="13"/>
  <c r="F216" i="13"/>
  <c r="F217" i="13"/>
  <c r="F218" i="13"/>
  <c r="F219" i="13"/>
  <c r="F220" i="13"/>
  <c r="F210" i="13"/>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W57" i="1"/>
  <c r="W56" i="1"/>
  <c r="W55" i="1"/>
  <c r="W54" i="1"/>
  <c r="W53" i="1"/>
  <c r="W52" i="1"/>
  <c r="W51" i="1"/>
  <c r="W50" i="1"/>
  <c r="W49" i="1"/>
  <c r="W48" i="1"/>
  <c r="W47" i="1"/>
  <c r="W46" i="1"/>
  <c r="W45" i="1"/>
  <c r="W44" i="1"/>
  <c r="W43" i="1"/>
  <c r="W42" i="1"/>
  <c r="W41" i="1"/>
  <c r="W40" i="1"/>
  <c r="W34" i="1"/>
  <c r="W33" i="1"/>
  <c r="W32" i="1"/>
  <c r="W31" i="1"/>
  <c r="W30" i="1"/>
  <c r="W29" i="1"/>
  <c r="W28" i="1"/>
  <c r="W27" i="1"/>
  <c r="W26" i="1"/>
  <c r="W25" i="1"/>
  <c r="W23" i="1"/>
  <c r="W22" i="1"/>
  <c r="W21" i="1"/>
  <c r="W20" i="1"/>
  <c r="W19" i="1"/>
  <c r="W16" i="1"/>
  <c r="W15" i="1"/>
  <c r="W14" i="1"/>
  <c r="W13" i="1"/>
  <c r="W10" i="1"/>
  <c r="AG68" i="1"/>
  <c r="AK68" i="1"/>
  <c r="AA21" i="1"/>
  <c r="AG21" i="1"/>
  <c r="AA33" i="1"/>
  <c r="AH33" i="1"/>
  <c r="AA51" i="1"/>
  <c r="AG51" i="1"/>
  <c r="AA20" i="1"/>
  <c r="AH20" i="1"/>
  <c r="AJ27" i="1"/>
  <c r="AI27" i="1"/>
  <c r="AA26" i="1"/>
  <c r="AG26" i="1"/>
  <c r="AJ50" i="1"/>
  <c r="AI50" i="1"/>
  <c r="AJ7" i="1"/>
  <c r="AI7" i="1"/>
  <c r="AJ44" i="1"/>
  <c r="AI44" i="1"/>
  <c r="AA46" i="1"/>
  <c r="AG46" i="1"/>
  <c r="AA38" i="1"/>
  <c r="AH38" i="1"/>
  <c r="AG61" i="1"/>
  <c r="AK61" i="1"/>
  <c r="AG76" i="1"/>
  <c r="AK74" i="1"/>
  <c r="AH74" i="1"/>
  <c r="AH77" i="1"/>
  <c r="AA78" i="1"/>
  <c r="AA34" i="1"/>
  <c r="AH34" i="1"/>
  <c r="AA35" i="1"/>
  <c r="AH35" i="1"/>
  <c r="AA36" i="1"/>
  <c r="AH36" i="1"/>
  <c r="AA37" i="1"/>
  <c r="AG37" i="1"/>
  <c r="AA28" i="1"/>
  <c r="AH28" i="1"/>
  <c r="AJ30" i="1"/>
  <c r="AI30" i="1"/>
  <c r="AJ56" i="1"/>
  <c r="AI56" i="1"/>
  <c r="AJ57" i="1"/>
  <c r="AI57" i="1"/>
  <c r="AA15" i="1"/>
  <c r="AG15" i="1"/>
  <c r="AK66" i="1"/>
  <c r="AH85" i="1"/>
  <c r="AH83" i="1"/>
  <c r="AG75" i="1"/>
  <c r="AK75" i="1"/>
  <c r="AA14" i="1"/>
  <c r="AH14" i="1"/>
  <c r="AK85" i="1"/>
  <c r="AJ20" i="1"/>
  <c r="AI20" i="1"/>
  <c r="AJ32" i="1"/>
  <c r="AI32" i="1"/>
  <c r="AJ45" i="1"/>
  <c r="AI45" i="1"/>
  <c r="AA9" i="1"/>
  <c r="AH9" i="1"/>
  <c r="AA7" i="1"/>
  <c r="AH7" i="1"/>
  <c r="AJ26" i="1"/>
  <c r="AI26" i="1"/>
  <c r="Z39" i="19"/>
  <c r="AK84" i="1"/>
  <c r="AJ31" i="1"/>
  <c r="AI31" i="1"/>
  <c r="AJ39" i="1"/>
  <c r="AI39" i="1"/>
  <c r="AA6" i="1"/>
  <c r="AH6" i="1"/>
  <c r="AH66" i="1"/>
  <c r="AG33" i="1"/>
  <c r="AJ14" i="1"/>
  <c r="AI14" i="1"/>
  <c r="AJ18" i="1"/>
  <c r="AI18" i="1"/>
  <c r="AJ8" i="1"/>
  <c r="AI8" i="1"/>
  <c r="AJ15" i="1"/>
  <c r="AI15" i="1"/>
  <c r="O37" i="19"/>
  <c r="AJ25" i="1"/>
  <c r="AI25" i="1"/>
  <c r="AA42" i="1"/>
  <c r="AG42" i="1"/>
  <c r="AA5" i="1"/>
  <c r="AG5" i="1"/>
  <c r="AJ38" i="1"/>
  <c r="AI38" i="1"/>
  <c r="AA13" i="1"/>
  <c r="AH13" i="1"/>
  <c r="AJ21" i="1"/>
  <c r="AI21" i="1"/>
  <c r="AG69" i="1"/>
  <c r="AK69" i="1"/>
  <c r="AJ9" i="1"/>
  <c r="AI9" i="1"/>
  <c r="AA27" i="1"/>
  <c r="AG27" i="1"/>
  <c r="AM39" i="19"/>
  <c r="AJ19" i="1"/>
  <c r="AI19" i="1"/>
  <c r="AA39" i="1"/>
  <c r="AG39" i="1"/>
  <c r="AJ6" i="1"/>
  <c r="AI6" i="1"/>
  <c r="AK83" i="1"/>
  <c r="AK86" i="1"/>
  <c r="AG82" i="1"/>
  <c r="AH82" i="1"/>
  <c r="AH87" i="1"/>
  <c r="AG87" i="1"/>
  <c r="AK87" i="1"/>
  <c r="AH80" i="1"/>
  <c r="AG80" i="1"/>
  <c r="AK80" i="1"/>
  <c r="AG81" i="1"/>
  <c r="AK81" i="1"/>
  <c r="AH81" i="1"/>
  <c r="AH73" i="1"/>
  <c r="AG73" i="1"/>
  <c r="AK73" i="1"/>
  <c r="AH72" i="1"/>
  <c r="AG72" i="1"/>
  <c r="AK72" i="1"/>
  <c r="AH67" i="1"/>
  <c r="AG67" i="1"/>
  <c r="AK67" i="1"/>
  <c r="AG62" i="1"/>
  <c r="AK62" i="1"/>
  <c r="AH62" i="1"/>
  <c r="AH63" i="1"/>
  <c r="AG63" i="1"/>
  <c r="AK63" i="1"/>
  <c r="AH58" i="1"/>
  <c r="AA59" i="1"/>
  <c r="AH59" i="1"/>
  <c r="AA60" i="1"/>
  <c r="AG60" i="1"/>
  <c r="AG58" i="1"/>
  <c r="AJ13" i="1"/>
  <c r="AI13" i="1"/>
  <c r="AA19" i="1"/>
  <c r="AH19" i="1"/>
  <c r="AA32" i="1"/>
  <c r="AJ33" i="1"/>
  <c r="AI33" i="1"/>
  <c r="AA40" i="1"/>
  <c r="AJ43" i="1"/>
  <c r="AI43" i="1"/>
  <c r="AJ51" i="1"/>
  <c r="AI51" i="1"/>
  <c r="P35" i="19"/>
  <c r="AJ5" i="1"/>
  <c r="AI5" i="1"/>
  <c r="AH51" i="1"/>
  <c r="AA22" i="1"/>
  <c r="AH22" i="1"/>
  <c r="AA23" i="1"/>
  <c r="AA8" i="1"/>
  <c r="AH8" i="1"/>
  <c r="AA18" i="1"/>
  <c r="AH18" i="1"/>
  <c r="AA31" i="1"/>
  <c r="AH31" i="1"/>
  <c r="AA45" i="1"/>
  <c r="AA50" i="1"/>
  <c r="AA52" i="1"/>
  <c r="AA30" i="1"/>
  <c r="AA44" i="1"/>
  <c r="AJ42" i="1"/>
  <c r="AI42" i="1"/>
  <c r="AA57" i="1"/>
  <c r="AA29" i="1"/>
  <c r="AA43" i="1"/>
  <c r="AA56" i="1"/>
  <c r="AA16" i="1"/>
  <c r="AH16" i="1"/>
  <c r="AA17" i="1"/>
  <c r="AG17" i="1"/>
  <c r="AA12" i="1"/>
  <c r="AH12" i="1"/>
  <c r="S45" i="19"/>
  <c r="M45" i="19"/>
  <c r="S25" i="19"/>
  <c r="AE35" i="19"/>
  <c r="S15" i="19"/>
  <c r="M55" i="19"/>
  <c r="M15" i="19"/>
  <c r="AK35" i="19"/>
  <c r="AK55" i="19"/>
  <c r="AK15" i="19"/>
  <c r="Y25" i="19"/>
  <c r="AE45" i="19"/>
  <c r="AE25" i="19"/>
  <c r="Y15" i="19"/>
  <c r="AE15" i="19"/>
  <c r="Y35" i="19"/>
  <c r="AK45" i="19"/>
  <c r="Y45" i="19"/>
  <c r="M25" i="19"/>
  <c r="AE55" i="19"/>
  <c r="S55" i="19"/>
  <c r="M35" i="19"/>
  <c r="AK25" i="19"/>
  <c r="Y55" i="19"/>
  <c r="S35" i="19"/>
  <c r="J15" i="19"/>
  <c r="V55" i="19"/>
  <c r="AH26" i="1"/>
  <c r="AA25" i="1"/>
  <c r="AG25" i="1"/>
  <c r="AL39" i="19"/>
  <c r="AG19" i="19"/>
  <c r="U19" i="19"/>
  <c r="AK21" i="1"/>
  <c r="AA18" i="19"/>
  <c r="AG8" i="19"/>
  <c r="O18" i="19"/>
  <c r="O38" i="19"/>
  <c r="AG18" i="19"/>
  <c r="U38" i="19"/>
  <c r="AM8" i="19"/>
  <c r="AM18" i="19"/>
  <c r="AA38" i="19"/>
  <c r="O48" i="19"/>
  <c r="AA28" i="19"/>
  <c r="AM48" i="19"/>
  <c r="AA48" i="19"/>
  <c r="U28" i="19"/>
  <c r="O8" i="19"/>
  <c r="AM28" i="19"/>
  <c r="AA8" i="19"/>
  <c r="AG28" i="19"/>
  <c r="U48" i="19"/>
  <c r="U18" i="19"/>
  <c r="U8" i="19"/>
  <c r="AG38" i="19"/>
  <c r="AG48" i="19"/>
  <c r="O28" i="19"/>
  <c r="AM38" i="19"/>
  <c r="AH21" i="1"/>
  <c r="AA10" i="1"/>
  <c r="AH10" i="1"/>
  <c r="AA11" i="1"/>
  <c r="AJ12" i="1"/>
  <c r="AI12" i="1"/>
  <c r="U7" i="19"/>
  <c r="U37" i="19"/>
  <c r="AA37" i="19"/>
  <c r="AA27" i="19"/>
  <c r="AG37" i="19"/>
  <c r="AA47" i="19"/>
  <c r="AG7" i="19"/>
  <c r="AA4" i="1"/>
  <c r="AG4" i="1"/>
  <c r="AG6" i="1"/>
  <c r="AG27" i="19"/>
  <c r="AA17" i="19"/>
  <c r="AG23" i="19"/>
  <c r="AH78" i="1"/>
  <c r="AA79" i="1"/>
  <c r="AG78" i="1"/>
  <c r="AH15" i="1"/>
  <c r="AM27" i="19"/>
  <c r="U9" i="19"/>
  <c r="AH60" i="1"/>
  <c r="AL19" i="19"/>
  <c r="AK15" i="1"/>
  <c r="Z49" i="19"/>
  <c r="AG59" i="1"/>
  <c r="AF19" i="19"/>
  <c r="N9" i="19"/>
  <c r="O9" i="19"/>
  <c r="O27" i="19"/>
  <c r="AA29" i="19"/>
  <c r="AH5" i="1"/>
  <c r="AG14" i="1"/>
  <c r="W26" i="19"/>
  <c r="O29" i="19"/>
  <c r="AG20" i="1"/>
  <c r="AG9" i="1"/>
  <c r="AG6" i="19"/>
  <c r="AG9" i="19"/>
  <c r="U49" i="19"/>
  <c r="U29" i="19"/>
  <c r="AG49" i="19"/>
  <c r="AH27" i="1"/>
  <c r="AK33" i="1"/>
  <c r="AM29" i="19"/>
  <c r="AA39" i="19"/>
  <c r="K36" i="19"/>
  <c r="O39" i="19"/>
  <c r="AG39" i="19"/>
  <c r="AM9" i="19"/>
  <c r="AA49" i="19"/>
  <c r="O19" i="19"/>
  <c r="AG19" i="1"/>
  <c r="U39" i="19"/>
  <c r="AA9" i="19"/>
  <c r="AM19" i="19"/>
  <c r="AA19" i="19"/>
  <c r="O49" i="19"/>
  <c r="AM49" i="19"/>
  <c r="AG29" i="19"/>
  <c r="AK27" i="1"/>
  <c r="T29" i="19"/>
  <c r="Q36" i="19"/>
  <c r="N49" i="19"/>
  <c r="Z29" i="19"/>
  <c r="N39" i="19"/>
  <c r="AG31" i="1"/>
  <c r="AK10" i="19"/>
  <c r="AK49" i="19"/>
  <c r="Z19" i="19"/>
  <c r="AI46" i="19"/>
  <c r="AK26" i="1"/>
  <c r="T19" i="19"/>
  <c r="T9" i="19"/>
  <c r="N19" i="19"/>
  <c r="AJ52" i="19"/>
  <c r="W6" i="19"/>
  <c r="AF29" i="19"/>
  <c r="AL49" i="19"/>
  <c r="W36" i="19"/>
  <c r="K46" i="19"/>
  <c r="N29" i="19"/>
  <c r="AL9" i="19"/>
  <c r="AF49" i="19"/>
  <c r="AL29" i="19"/>
  <c r="AG20" i="19"/>
  <c r="AG30" i="19"/>
  <c r="Q16" i="19"/>
  <c r="AC46" i="19"/>
  <c r="K16" i="19"/>
  <c r="T39" i="19"/>
  <c r="AF39" i="19"/>
  <c r="AC16" i="19"/>
  <c r="AG13" i="1"/>
  <c r="Y7" i="19"/>
  <c r="AC6" i="19"/>
  <c r="T49" i="19"/>
  <c r="AK5" i="1"/>
  <c r="Z9" i="19"/>
  <c r="AF9" i="19"/>
  <c r="AG45" i="19"/>
  <c r="U55" i="19"/>
  <c r="AM25" i="19"/>
  <c r="AA25" i="19"/>
  <c r="AG15" i="19"/>
  <c r="AA55" i="19"/>
  <c r="AM55" i="19"/>
  <c r="U25" i="19"/>
  <c r="U45" i="19"/>
  <c r="AG35" i="19"/>
  <c r="U15" i="19"/>
  <c r="O25" i="19"/>
  <c r="AG55" i="19"/>
  <c r="AG25" i="19"/>
  <c r="AM15" i="19"/>
  <c r="AH46" i="1"/>
  <c r="AA47" i="1"/>
  <c r="AG47" i="1"/>
  <c r="AM53" i="19"/>
  <c r="AG33" i="19"/>
  <c r="AH37" i="1"/>
  <c r="AG38" i="1"/>
  <c r="AF41" i="19"/>
  <c r="O15" i="19"/>
  <c r="AA15" i="19"/>
  <c r="O55" i="19"/>
  <c r="AM45" i="19"/>
  <c r="U35" i="19"/>
  <c r="O35" i="19"/>
  <c r="O45" i="19"/>
  <c r="AM35" i="19"/>
  <c r="AA35" i="19"/>
  <c r="AA45" i="19"/>
  <c r="AM30" i="19"/>
  <c r="AG50" i="19"/>
  <c r="U50" i="19"/>
  <c r="AA30" i="19"/>
  <c r="AG10" i="19"/>
  <c r="AH42" i="1"/>
  <c r="AD12" i="19"/>
  <c r="X22" i="19"/>
  <c r="AD52" i="19"/>
  <c r="AG36" i="1"/>
  <c r="AH39" i="1"/>
  <c r="AG35" i="1"/>
  <c r="AG34" i="1"/>
  <c r="AG28" i="1"/>
  <c r="AM11" i="19"/>
  <c r="AG41" i="19"/>
  <c r="AA21" i="19"/>
  <c r="U11" i="19"/>
  <c r="U41" i="19"/>
  <c r="AM41" i="19"/>
  <c r="AK39" i="1"/>
  <c r="AG31" i="19"/>
  <c r="U21" i="19"/>
  <c r="AA51" i="19"/>
  <c r="O21" i="19"/>
  <c r="AG21" i="19"/>
  <c r="AG51" i="19"/>
  <c r="AA31" i="19"/>
  <c r="AA41" i="19"/>
  <c r="AM21" i="19"/>
  <c r="O11" i="19"/>
  <c r="U31" i="19"/>
  <c r="AM51" i="19"/>
  <c r="U51" i="19"/>
  <c r="AG11" i="19"/>
  <c r="AA11" i="19"/>
  <c r="AM31" i="19"/>
  <c r="O31" i="19"/>
  <c r="O51" i="19"/>
  <c r="O41" i="19"/>
  <c r="O20" i="19"/>
  <c r="U20" i="19"/>
  <c r="AM13" i="19"/>
  <c r="AI35" i="19"/>
  <c r="AC55" i="19"/>
  <c r="AB35" i="19"/>
  <c r="Q6" i="19"/>
  <c r="AM47" i="19"/>
  <c r="Y29" i="19"/>
  <c r="O30" i="19"/>
  <c r="AG8" i="1"/>
  <c r="Z36" i="19"/>
  <c r="O50" i="19"/>
  <c r="AA10" i="19"/>
  <c r="AA20" i="19"/>
  <c r="AG43" i="19"/>
  <c r="AH25" i="19"/>
  <c r="AC35" i="19"/>
  <c r="AG40" i="19"/>
  <c r="O10" i="19"/>
  <c r="AA23" i="19"/>
  <c r="W55" i="19"/>
  <c r="K55" i="19"/>
  <c r="Q55" i="19"/>
  <c r="AM50" i="19"/>
  <c r="U10" i="19"/>
  <c r="AM40" i="19"/>
  <c r="U40" i="19"/>
  <c r="AG13" i="19"/>
  <c r="J55" i="19"/>
  <c r="AM20" i="19"/>
  <c r="U30" i="19"/>
  <c r="AA40" i="19"/>
  <c r="AA53" i="19"/>
  <c r="J45" i="19"/>
  <c r="K35" i="19"/>
  <c r="AI25" i="19"/>
  <c r="AG7" i="1"/>
  <c r="AI26" i="19"/>
  <c r="AI16" i="19"/>
  <c r="AC36" i="19"/>
  <c r="U47" i="19"/>
  <c r="AM37" i="19"/>
  <c r="AG17" i="19"/>
  <c r="M49" i="19"/>
  <c r="X32" i="19"/>
  <c r="J35" i="19"/>
  <c r="AC15" i="19"/>
  <c r="AI36" i="19"/>
  <c r="AI6" i="19"/>
  <c r="Q26" i="19"/>
  <c r="O17" i="19"/>
  <c r="U27" i="19"/>
  <c r="O7" i="19"/>
  <c r="W46" i="19"/>
  <c r="W16" i="19"/>
  <c r="AM7" i="19"/>
  <c r="AG47" i="19"/>
  <c r="AG22" i="1"/>
  <c r="AC26" i="19"/>
  <c r="K6" i="19"/>
  <c r="AA7" i="19"/>
  <c r="AM17" i="19"/>
  <c r="Q46" i="19"/>
  <c r="K26" i="19"/>
  <c r="O47" i="19"/>
  <c r="U17" i="19"/>
  <c r="AG16" i="1"/>
  <c r="AH25" i="1"/>
  <c r="P15" i="19"/>
  <c r="AA50" i="19"/>
  <c r="O40" i="19"/>
  <c r="Y9" i="19"/>
  <c r="AK19" i="19"/>
  <c r="Q15" i="19"/>
  <c r="S29" i="19"/>
  <c r="M9" i="19"/>
  <c r="S9" i="19"/>
  <c r="Q35" i="19"/>
  <c r="W25" i="19"/>
  <c r="AC25" i="19"/>
  <c r="AM10" i="19"/>
  <c r="AK39" i="19"/>
  <c r="AE39" i="19"/>
  <c r="AG12" i="1"/>
  <c r="L7" i="19"/>
  <c r="S49" i="19"/>
  <c r="AE49" i="19"/>
  <c r="Q25" i="19"/>
  <c r="Q45" i="19"/>
  <c r="W15" i="19"/>
  <c r="AC45" i="19"/>
  <c r="AK9" i="19"/>
  <c r="W35" i="19"/>
  <c r="AG18" i="1"/>
  <c r="X28" i="19"/>
  <c r="AI45" i="19"/>
  <c r="W45" i="19"/>
  <c r="R32" i="19"/>
  <c r="AJ42" i="19"/>
  <c r="R22" i="19"/>
  <c r="X12" i="19"/>
  <c r="U43" i="19"/>
  <c r="O23" i="19"/>
  <c r="AA13" i="19"/>
  <c r="AH44" i="1"/>
  <c r="AG44" i="1"/>
  <c r="AG45" i="1"/>
  <c r="AH45" i="1"/>
  <c r="AD22" i="19"/>
  <c r="AK42" i="1"/>
  <c r="AJ22" i="19"/>
  <c r="O53" i="19"/>
  <c r="AM43" i="19"/>
  <c r="AG53" i="19"/>
  <c r="U23" i="19"/>
  <c r="AH32" i="1"/>
  <c r="AG32" i="1"/>
  <c r="X52" i="19"/>
  <c r="L32" i="19"/>
  <c r="AJ12" i="19"/>
  <c r="AM33" i="19"/>
  <c r="O13" i="19"/>
  <c r="U53" i="19"/>
  <c r="AH56" i="1"/>
  <c r="AG56" i="1"/>
  <c r="R12" i="19"/>
  <c r="Y19" i="19"/>
  <c r="Y49" i="19"/>
  <c r="AK29" i="19"/>
  <c r="Y39" i="19"/>
  <c r="AE9" i="19"/>
  <c r="L52" i="19"/>
  <c r="R42" i="19"/>
  <c r="AJ32" i="19"/>
  <c r="U33" i="19"/>
  <c r="AA33" i="19"/>
  <c r="AM23" i="19"/>
  <c r="AH40" i="1"/>
  <c r="AA41" i="1"/>
  <c r="AG41" i="1"/>
  <c r="AG40" i="1"/>
  <c r="L12" i="19"/>
  <c r="AH30" i="1"/>
  <c r="AG30" i="1"/>
  <c r="M39" i="19"/>
  <c r="AK25" i="1"/>
  <c r="AE29" i="19"/>
  <c r="AE19" i="19"/>
  <c r="S39" i="19"/>
  <c r="M29" i="19"/>
  <c r="R52" i="19"/>
  <c r="L22" i="19"/>
  <c r="L42" i="19"/>
  <c r="U13" i="19"/>
  <c r="AK51" i="1"/>
  <c r="AA43" i="19"/>
  <c r="AG43" i="1"/>
  <c r="AH43" i="1"/>
  <c r="AH52" i="1"/>
  <c r="AA53" i="1"/>
  <c r="AG53" i="1"/>
  <c r="AG52" i="1"/>
  <c r="X42" i="19"/>
  <c r="AG57" i="1"/>
  <c r="AH57" i="1"/>
  <c r="M19" i="19"/>
  <c r="S19" i="19"/>
  <c r="AD32" i="19"/>
  <c r="AD42" i="19"/>
  <c r="O33" i="19"/>
  <c r="O43" i="19"/>
  <c r="AG29" i="1"/>
  <c r="AH29" i="1"/>
  <c r="AG50" i="1"/>
  <c r="AH50" i="1"/>
  <c r="AH15" i="19"/>
  <c r="J25" i="19"/>
  <c r="P55" i="19"/>
  <c r="AB25" i="19"/>
  <c r="V15" i="19"/>
  <c r="V45" i="19"/>
  <c r="AB55" i="19"/>
  <c r="AH55" i="19"/>
  <c r="V25" i="19"/>
  <c r="V35" i="19"/>
  <c r="AB15" i="19"/>
  <c r="P25" i="19"/>
  <c r="P45" i="19"/>
  <c r="AH35" i="19"/>
  <c r="AB45" i="19"/>
  <c r="AH45" i="19"/>
  <c r="K45" i="19"/>
  <c r="K15" i="19"/>
  <c r="AI55" i="19"/>
  <c r="N31" i="19"/>
  <c r="AK20" i="19"/>
  <c r="S20" i="19"/>
  <c r="S50" i="19"/>
  <c r="Y30" i="19"/>
  <c r="S40" i="19"/>
  <c r="M40" i="19"/>
  <c r="AH23" i="1"/>
  <c r="AA24" i="1"/>
  <c r="AG23" i="1"/>
  <c r="X8" i="19"/>
  <c r="R38" i="19"/>
  <c r="X38" i="19"/>
  <c r="AD48" i="19"/>
  <c r="AD28" i="19"/>
  <c r="AJ18" i="19"/>
  <c r="AJ28" i="19"/>
  <c r="AD38" i="19"/>
  <c r="AH17" i="1"/>
  <c r="AK20" i="1"/>
  <c r="AF8" i="19"/>
  <c r="AL8" i="19"/>
  <c r="AL38" i="19"/>
  <c r="N48" i="19"/>
  <c r="Z48" i="19"/>
  <c r="Z8" i="19"/>
  <c r="N8" i="19"/>
  <c r="AL48" i="19"/>
  <c r="T28" i="19"/>
  <c r="AL28" i="19"/>
  <c r="T8" i="19"/>
  <c r="AF38" i="19"/>
  <c r="T38" i="19"/>
  <c r="Z28" i="19"/>
  <c r="N38" i="19"/>
  <c r="Z18" i="19"/>
  <c r="AF28" i="19"/>
  <c r="AF48" i="19"/>
  <c r="AF18" i="19"/>
  <c r="N28" i="19"/>
  <c r="T18" i="19"/>
  <c r="AL18" i="19"/>
  <c r="N18" i="19"/>
  <c r="T48" i="19"/>
  <c r="Z38" i="19"/>
  <c r="AE38" i="19"/>
  <c r="M8" i="19"/>
  <c r="Y18" i="19"/>
  <c r="M38" i="19"/>
  <c r="Y8" i="19"/>
  <c r="AK8" i="19"/>
  <c r="AE18" i="19"/>
  <c r="M28" i="19"/>
  <c r="Y38" i="19"/>
  <c r="AK48" i="19"/>
  <c r="AK38" i="19"/>
  <c r="S8" i="19"/>
  <c r="S48" i="19"/>
  <c r="AK18" i="19"/>
  <c r="M18" i="19"/>
  <c r="S18" i="19"/>
  <c r="AK19" i="1"/>
  <c r="M48" i="19"/>
  <c r="AK28" i="19"/>
  <c r="Y28" i="19"/>
  <c r="AE28" i="19"/>
  <c r="S28" i="19"/>
  <c r="AE8" i="19"/>
  <c r="Y48" i="19"/>
  <c r="AE48" i="19"/>
  <c r="S38" i="19"/>
  <c r="AG11" i="1"/>
  <c r="AH11" i="1"/>
  <c r="AG10" i="1"/>
  <c r="AK14" i="1"/>
  <c r="T17" i="19"/>
  <c r="T27" i="19"/>
  <c r="AF17" i="19"/>
  <c r="Z37" i="19"/>
  <c r="AF47" i="19"/>
  <c r="AF7" i="19"/>
  <c r="T37" i="19"/>
  <c r="N27" i="19"/>
  <c r="AF37" i="19"/>
  <c r="N37" i="19"/>
  <c r="N7" i="19"/>
  <c r="Z47" i="19"/>
  <c r="Z27" i="19"/>
  <c r="T7" i="19"/>
  <c r="N17" i="19"/>
  <c r="N47" i="19"/>
  <c r="Z7" i="19"/>
  <c r="AF27" i="19"/>
  <c r="T47" i="19"/>
  <c r="AL7" i="19"/>
  <c r="AL37" i="19"/>
  <c r="AL47" i="19"/>
  <c r="AL17" i="19"/>
  <c r="Z17" i="19"/>
  <c r="AL27" i="19"/>
  <c r="S27" i="19"/>
  <c r="M27" i="19"/>
  <c r="AK47" i="19"/>
  <c r="S37" i="19"/>
  <c r="Y37" i="19"/>
  <c r="S47" i="19"/>
  <c r="AE27" i="19"/>
  <c r="AE37" i="19"/>
  <c r="AE17" i="19"/>
  <c r="AK13" i="1"/>
  <c r="Y47" i="19"/>
  <c r="Y27" i="19"/>
  <c r="M37" i="19"/>
  <c r="S7" i="19"/>
  <c r="M47" i="19"/>
  <c r="M17" i="19"/>
  <c r="AE47" i="19"/>
  <c r="AK7" i="19"/>
  <c r="Y17" i="19"/>
  <c r="AK17" i="19"/>
  <c r="AK27" i="19"/>
  <c r="AE7" i="19"/>
  <c r="U26" i="19"/>
  <c r="AH4" i="1"/>
  <c r="AG46" i="19"/>
  <c r="AM26" i="19"/>
  <c r="Z46" i="19"/>
  <c r="N46" i="19"/>
  <c r="T6" i="19"/>
  <c r="AL36" i="19"/>
  <c r="Z16" i="19"/>
  <c r="T26" i="19"/>
  <c r="O6" i="19"/>
  <c r="AD46" i="19"/>
  <c r="R6" i="19"/>
  <c r="X26" i="19"/>
  <c r="L26" i="19"/>
  <c r="AD16" i="19"/>
  <c r="L36" i="19"/>
  <c r="AJ6" i="19"/>
  <c r="AJ36" i="19"/>
  <c r="L16" i="19"/>
  <c r="X16" i="19"/>
  <c r="AD36" i="19"/>
  <c r="R26" i="19"/>
  <c r="AJ26" i="19"/>
  <c r="R46" i="19"/>
  <c r="AD6" i="19"/>
  <c r="AK6" i="1"/>
  <c r="L46" i="19"/>
  <c r="AD26" i="19"/>
  <c r="L6" i="19"/>
  <c r="X6" i="19"/>
  <c r="R36" i="19"/>
  <c r="R16" i="19"/>
  <c r="AJ46" i="19"/>
  <c r="X36" i="19"/>
  <c r="X46" i="19"/>
  <c r="AJ16" i="19"/>
  <c r="AK46" i="19"/>
  <c r="M16" i="19"/>
  <c r="M46" i="19"/>
  <c r="AE46" i="19"/>
  <c r="AE36" i="19"/>
  <c r="M36" i="19"/>
  <c r="S36" i="19"/>
  <c r="Y46" i="19"/>
  <c r="Y26" i="19"/>
  <c r="AE16" i="19"/>
  <c r="AK26" i="19"/>
  <c r="AK6" i="19"/>
  <c r="S26" i="19"/>
  <c r="M6" i="19"/>
  <c r="S16" i="19"/>
  <c r="Y36" i="19"/>
  <c r="AK36" i="19"/>
  <c r="AK16" i="19"/>
  <c r="Y6" i="19"/>
  <c r="S6" i="19"/>
  <c r="M26" i="19"/>
  <c r="S46" i="19"/>
  <c r="Y16" i="19"/>
  <c r="AE26" i="19"/>
  <c r="AE6" i="19"/>
  <c r="AK7" i="1"/>
  <c r="AG16" i="19"/>
  <c r="AM16" i="19"/>
  <c r="U16" i="19"/>
  <c r="AD47" i="19"/>
  <c r="AL51" i="19"/>
  <c r="O36" i="19"/>
  <c r="AM46" i="19"/>
  <c r="AA46" i="19"/>
  <c r="R17" i="19"/>
  <c r="Z21" i="19"/>
  <c r="AA36" i="19"/>
  <c r="AK9" i="1"/>
  <c r="O26" i="19"/>
  <c r="AG79" i="1"/>
  <c r="AH79" i="1"/>
  <c r="AA26" i="19"/>
  <c r="U6" i="19"/>
  <c r="O16" i="19"/>
  <c r="Z51" i="19"/>
  <c r="AM6" i="19"/>
  <c r="AA6" i="19"/>
  <c r="AM36" i="19"/>
  <c r="U46" i="19"/>
  <c r="T11" i="19"/>
  <c r="AG26" i="19"/>
  <c r="AA16" i="19"/>
  <c r="U36" i="19"/>
  <c r="AG36" i="19"/>
  <c r="O46" i="19"/>
  <c r="AL11" i="19"/>
  <c r="N16" i="19"/>
  <c r="T36" i="19"/>
  <c r="T16" i="19"/>
  <c r="Y50" i="19"/>
  <c r="AK40" i="19"/>
  <c r="AE50" i="19"/>
  <c r="Z6" i="19"/>
  <c r="AL46" i="19"/>
  <c r="AF6" i="19"/>
  <c r="M20" i="19"/>
  <c r="AK30" i="19"/>
  <c r="AE30" i="19"/>
  <c r="N26" i="19"/>
  <c r="AK8" i="1"/>
  <c r="AK31" i="1"/>
  <c r="AF26" i="19"/>
  <c r="Z26" i="19"/>
  <c r="Y20" i="19"/>
  <c r="S30" i="19"/>
  <c r="M50" i="19"/>
  <c r="M30" i="19"/>
  <c r="T46" i="19"/>
  <c r="AL16" i="19"/>
  <c r="AF16" i="19"/>
  <c r="N36" i="19"/>
  <c r="AK50" i="19"/>
  <c r="S10" i="19"/>
  <c r="AE20" i="19"/>
  <c r="M10" i="19"/>
  <c r="AE40" i="19"/>
  <c r="AE10" i="19"/>
  <c r="AL26" i="19"/>
  <c r="AF36" i="19"/>
  <c r="AF46" i="19"/>
  <c r="Y10" i="19"/>
  <c r="Y40" i="19"/>
  <c r="AJ38" i="19"/>
  <c r="L47" i="19"/>
  <c r="AH41" i="1"/>
  <c r="N6" i="19"/>
  <c r="AL6" i="19"/>
  <c r="AK37" i="19"/>
  <c r="S17" i="19"/>
  <c r="M7" i="19"/>
  <c r="AH47" i="1"/>
  <c r="AA48" i="1"/>
  <c r="AH53" i="1"/>
  <c r="AA54" i="1"/>
  <c r="T21" i="19"/>
  <c r="Z41" i="19"/>
  <c r="T51" i="19"/>
  <c r="Z31" i="19"/>
  <c r="AL41" i="19"/>
  <c r="AF51" i="19"/>
  <c r="AL31" i="19"/>
  <c r="Z11" i="19"/>
  <c r="AF21" i="19"/>
  <c r="T31" i="19"/>
  <c r="AF31" i="19"/>
  <c r="AF11" i="19"/>
  <c r="N51" i="19"/>
  <c r="N21" i="19"/>
  <c r="T41" i="19"/>
  <c r="AL21" i="19"/>
  <c r="AK38" i="1"/>
  <c r="N41" i="19"/>
  <c r="N11" i="19"/>
  <c r="AI15" i="19"/>
  <c r="K25" i="19"/>
  <c r="R47" i="19"/>
  <c r="AJ37" i="19"/>
  <c r="X27" i="19"/>
  <c r="R27" i="19"/>
  <c r="AJ7" i="19"/>
  <c r="X47" i="19"/>
  <c r="AJ47" i="19"/>
  <c r="L37" i="19"/>
  <c r="AD17" i="19"/>
  <c r="AD27" i="19"/>
  <c r="AJ17" i="19"/>
  <c r="L17" i="19"/>
  <c r="R37" i="19"/>
  <c r="X37" i="19"/>
  <c r="X7" i="19"/>
  <c r="AK12" i="1"/>
  <c r="AD7" i="19"/>
  <c r="X17" i="19"/>
  <c r="AD37" i="19"/>
  <c r="L27" i="19"/>
  <c r="AJ27" i="19"/>
  <c r="R7" i="19"/>
  <c r="R18" i="19"/>
  <c r="L18" i="19"/>
  <c r="AJ48" i="19"/>
  <c r="X48" i="19"/>
  <c r="AJ8" i="19"/>
  <c r="L48" i="19"/>
  <c r="R48" i="19"/>
  <c r="AD18" i="19"/>
  <c r="R8" i="19"/>
  <c r="L8" i="19"/>
  <c r="L28" i="19"/>
  <c r="AD8" i="19"/>
  <c r="L38" i="19"/>
  <c r="X18" i="19"/>
  <c r="L55" i="19"/>
  <c r="AD25" i="19"/>
  <c r="L45" i="19"/>
  <c r="AJ25" i="19"/>
  <c r="X55" i="19"/>
  <c r="AD15" i="19"/>
  <c r="AD55" i="19"/>
  <c r="AJ55" i="19"/>
  <c r="L15" i="19"/>
  <c r="R15" i="19"/>
  <c r="R25" i="19"/>
  <c r="X15" i="19"/>
  <c r="AD45" i="19"/>
  <c r="AJ15" i="19"/>
  <c r="X25" i="19"/>
  <c r="R35" i="19"/>
  <c r="L35" i="19"/>
  <c r="R45" i="19"/>
  <c r="X45" i="19"/>
  <c r="AJ45" i="19"/>
  <c r="AD35" i="19"/>
  <c r="L25" i="19"/>
  <c r="R55" i="19"/>
  <c r="AJ35" i="19"/>
  <c r="X35" i="19"/>
  <c r="R28" i="19"/>
  <c r="AK18" i="1"/>
  <c r="T25" i="19"/>
  <c r="AF25" i="19"/>
  <c r="AF15" i="19"/>
  <c r="T55" i="19"/>
  <c r="Z25" i="19"/>
  <c r="N35" i="19"/>
  <c r="AL35" i="19"/>
  <c r="T45" i="19"/>
  <c r="AL25" i="19"/>
  <c r="T35" i="19"/>
  <c r="AF55" i="19"/>
  <c r="Z45" i="19"/>
  <c r="AF45" i="19"/>
  <c r="Z15" i="19"/>
  <c r="N25" i="19"/>
  <c r="AF35" i="19"/>
  <c r="T15" i="19"/>
  <c r="Z35" i="19"/>
  <c r="AL45" i="19"/>
  <c r="N55" i="19"/>
  <c r="N15" i="19"/>
  <c r="Z55" i="19"/>
  <c r="AL55" i="19"/>
  <c r="AL15" i="19"/>
  <c r="N45" i="19"/>
  <c r="AK56" i="1"/>
  <c r="AF54" i="19"/>
  <c r="T24" i="19"/>
  <c r="T34" i="19"/>
  <c r="Z34" i="19"/>
  <c r="N24" i="19"/>
  <c r="AL44" i="19"/>
  <c r="T44" i="19"/>
  <c r="T54" i="19"/>
  <c r="AL34" i="19"/>
  <c r="Z14" i="19"/>
  <c r="AF24" i="19"/>
  <c r="T14" i="19"/>
  <c r="AF34" i="19"/>
  <c r="AL54" i="19"/>
  <c r="AL14" i="19"/>
  <c r="N34" i="19"/>
  <c r="AF14" i="19"/>
  <c r="AF44" i="19"/>
  <c r="Z44" i="19"/>
  <c r="Z54" i="19"/>
  <c r="Z24" i="19"/>
  <c r="N14" i="19"/>
  <c r="N54" i="19"/>
  <c r="N44" i="19"/>
  <c r="AL24" i="19"/>
  <c r="N13" i="19"/>
  <c r="Z33" i="19"/>
  <c r="AF13" i="19"/>
  <c r="T23" i="19"/>
  <c r="Z53" i="19"/>
  <c r="AK50" i="1"/>
  <c r="N33" i="19"/>
  <c r="AF43" i="19"/>
  <c r="Z43" i="19"/>
  <c r="T43" i="19"/>
  <c r="AL33" i="19"/>
  <c r="T13" i="19"/>
  <c r="Z13" i="19"/>
  <c r="AL23" i="19"/>
  <c r="T33" i="19"/>
  <c r="AL13" i="19"/>
  <c r="Z23" i="19"/>
  <c r="T53" i="19"/>
  <c r="N23" i="19"/>
  <c r="AL53" i="19"/>
  <c r="N43" i="19"/>
  <c r="AF53" i="19"/>
  <c r="N53" i="19"/>
  <c r="AF33" i="19"/>
  <c r="AF23" i="19"/>
  <c r="AL43" i="19"/>
  <c r="M42" i="19"/>
  <c r="S32" i="19"/>
  <c r="AE22" i="19"/>
  <c r="AK12" i="19"/>
  <c r="AK42" i="19"/>
  <c r="S52" i="19"/>
  <c r="Y12" i="19"/>
  <c r="AE32" i="19"/>
  <c r="Y52" i="19"/>
  <c r="AE52" i="19"/>
  <c r="S22" i="19"/>
  <c r="M52" i="19"/>
  <c r="Y42" i="19"/>
  <c r="Y22" i="19"/>
  <c r="M22" i="19"/>
  <c r="M12" i="19"/>
  <c r="AK22" i="19"/>
  <c r="S12" i="19"/>
  <c r="AE12" i="19"/>
  <c r="AK52" i="19"/>
  <c r="AK32" i="19"/>
  <c r="AE42" i="19"/>
  <c r="M32" i="19"/>
  <c r="Y32" i="19"/>
  <c r="AK43" i="1"/>
  <c r="S42" i="19"/>
  <c r="AK32" i="1"/>
  <c r="N30" i="19"/>
  <c r="N50" i="19"/>
  <c r="N40" i="19"/>
  <c r="AL40" i="19"/>
  <c r="Z30" i="19"/>
  <c r="T40" i="19"/>
  <c r="Z20" i="19"/>
  <c r="T30" i="19"/>
  <c r="AL20" i="19"/>
  <c r="T10" i="19"/>
  <c r="N10" i="19"/>
  <c r="Z50" i="19"/>
  <c r="AF50" i="19"/>
  <c r="AF40" i="19"/>
  <c r="T50" i="19"/>
  <c r="Z10" i="19"/>
  <c r="AL10" i="19"/>
  <c r="AF10" i="19"/>
  <c r="Z40" i="19"/>
  <c r="AL30" i="19"/>
  <c r="AF20" i="19"/>
  <c r="N20" i="19"/>
  <c r="AL50" i="19"/>
  <c r="AF30" i="19"/>
  <c r="T20" i="19"/>
  <c r="O24" i="19"/>
  <c r="U44" i="19"/>
  <c r="O34" i="19"/>
  <c r="AA34" i="19"/>
  <c r="AM44" i="19"/>
  <c r="U24" i="19"/>
  <c r="O54" i="19"/>
  <c r="AK57" i="1"/>
  <c r="O44" i="19"/>
  <c r="AA44" i="19"/>
  <c r="AG44" i="19"/>
  <c r="AG34" i="19"/>
  <c r="AM54" i="19"/>
  <c r="U14" i="19"/>
  <c r="AA14" i="19"/>
  <c r="AG14" i="19"/>
  <c r="O14" i="19"/>
  <c r="AG24" i="19"/>
  <c r="AA24" i="19"/>
  <c r="AM24" i="19"/>
  <c r="U54" i="19"/>
  <c r="AM34" i="19"/>
  <c r="AA54" i="19"/>
  <c r="AM14" i="19"/>
  <c r="U34" i="19"/>
  <c r="AG54" i="19"/>
  <c r="AK30" i="1"/>
  <c r="X10" i="19"/>
  <c r="AD50" i="19"/>
  <c r="AD40" i="19"/>
  <c r="AJ30" i="19"/>
  <c r="L30" i="19"/>
  <c r="L40" i="19"/>
  <c r="AD30" i="19"/>
  <c r="R30" i="19"/>
  <c r="R10" i="19"/>
  <c r="AJ40" i="19"/>
  <c r="X50" i="19"/>
  <c r="L10" i="19"/>
  <c r="AJ50" i="19"/>
  <c r="X40" i="19"/>
  <c r="AJ10" i="19"/>
  <c r="R40" i="19"/>
  <c r="L50" i="19"/>
  <c r="X30" i="19"/>
  <c r="L20" i="19"/>
  <c r="AD10" i="19"/>
  <c r="AJ20" i="19"/>
  <c r="AD20" i="19"/>
  <c r="R20" i="19"/>
  <c r="X20" i="19"/>
  <c r="R50" i="19"/>
  <c r="AM52" i="19"/>
  <c r="AG22" i="19"/>
  <c r="AM32" i="19"/>
  <c r="U32" i="19"/>
  <c r="O22" i="19"/>
  <c r="AA32" i="19"/>
  <c r="AG52" i="19"/>
  <c r="AG12" i="19"/>
  <c r="U22" i="19"/>
  <c r="U12" i="19"/>
  <c r="AK45" i="1"/>
  <c r="O42" i="19"/>
  <c r="O12" i="19"/>
  <c r="AA22" i="19"/>
  <c r="U52" i="19"/>
  <c r="AG32" i="19"/>
  <c r="AG42" i="19"/>
  <c r="U42" i="19"/>
  <c r="AA12" i="19"/>
  <c r="O32" i="19"/>
  <c r="AM12" i="19"/>
  <c r="AA52" i="19"/>
  <c r="AM22" i="19"/>
  <c r="AA42" i="19"/>
  <c r="O52" i="19"/>
  <c r="AM42" i="19"/>
  <c r="AL42" i="19"/>
  <c r="AL12" i="19"/>
  <c r="Z22" i="19"/>
  <c r="AK44" i="1"/>
  <c r="AL52" i="19"/>
  <c r="AF42" i="19"/>
  <c r="N32" i="19"/>
  <c r="Z32" i="19"/>
  <c r="T42" i="19"/>
  <c r="AL32" i="19"/>
  <c r="Z52" i="19"/>
  <c r="N22" i="19"/>
  <c r="AF52" i="19"/>
  <c r="Z42" i="19"/>
  <c r="AF12" i="19"/>
  <c r="T32" i="19"/>
  <c r="T12" i="19"/>
  <c r="AF32" i="19"/>
  <c r="T52" i="19"/>
  <c r="Z12" i="19"/>
  <c r="AL22" i="19"/>
  <c r="N42" i="19"/>
  <c r="T22" i="19"/>
  <c r="N12" i="19"/>
  <c r="N52" i="19"/>
  <c r="AF22" i="19"/>
  <c r="AH24" i="1"/>
  <c r="AG24" i="1"/>
  <c r="AH12" i="18"/>
  <c r="J36" i="18"/>
  <c r="V12" i="18"/>
  <c r="J28" i="18"/>
  <c r="J20" i="18"/>
  <c r="AH20" i="18"/>
  <c r="V28" i="18"/>
  <c r="AH36" i="18"/>
  <c r="P20" i="18"/>
  <c r="AB20" i="18"/>
  <c r="J44" i="18"/>
  <c r="P44" i="18"/>
  <c r="AH44" i="18"/>
  <c r="P12" i="18"/>
  <c r="AB28" i="18"/>
  <c r="AB12" i="18"/>
  <c r="J12" i="18"/>
  <c r="P28" i="18"/>
  <c r="P36" i="18"/>
  <c r="AH28" i="18"/>
  <c r="V44" i="18"/>
  <c r="AB36" i="18"/>
  <c r="AB44" i="18"/>
  <c r="V36" i="18"/>
  <c r="V20" i="18"/>
  <c r="AH48" i="1"/>
  <c r="AA49" i="1"/>
  <c r="AG48" i="1"/>
  <c r="AG54" i="1"/>
  <c r="AH54" i="1"/>
  <c r="AA55" i="1"/>
  <c r="AH49" i="1"/>
  <c r="AG49" i="1"/>
  <c r="AH55" i="1"/>
  <c r="AG55" i="1"/>
  <c r="O20" i="1"/>
  <c r="O7" i="1"/>
  <c r="O63" i="1"/>
  <c r="O74" i="1"/>
  <c r="O89" i="1"/>
  <c r="O24" i="1"/>
  <c r="O19" i="1"/>
  <c r="O42" i="1"/>
  <c r="O47" i="1"/>
  <c r="O32" i="1"/>
  <c r="O29" i="1"/>
  <c r="O75" i="1"/>
  <c r="O87" i="1"/>
  <c r="O36" i="1"/>
  <c r="O93" i="1"/>
  <c r="O55" i="1"/>
  <c r="O9" i="1"/>
  <c r="O66" i="1"/>
  <c r="O61" i="1"/>
  <c r="O60" i="1"/>
  <c r="O73" i="1"/>
  <c r="O56" i="1"/>
  <c r="O11" i="1"/>
  <c r="O44" i="1"/>
  <c r="O17" i="1"/>
  <c r="O59" i="1"/>
  <c r="O25" i="1"/>
  <c r="H210" i="13"/>
  <c r="O38" i="1"/>
  <c r="O12" i="1"/>
  <c r="O77" i="1"/>
  <c r="O72" i="1"/>
  <c r="O68" i="1"/>
  <c r="O54" i="1"/>
  <c r="O67" i="1"/>
  <c r="O79" i="1"/>
  <c r="O5" i="1"/>
  <c r="O27" i="1"/>
  <c r="O62" i="1"/>
  <c r="O85" i="1"/>
  <c r="O37" i="1"/>
  <c r="O78" i="1"/>
  <c r="O92" i="1"/>
  <c r="O57" i="1"/>
  <c r="O14" i="1"/>
  <c r="O26" i="1"/>
  <c r="O23" i="1"/>
  <c r="O69" i="1"/>
  <c r="O81" i="1"/>
  <c r="O21" i="1"/>
  <c r="O51" i="1"/>
  <c r="O30" i="1"/>
  <c r="O43" i="1"/>
  <c r="O35" i="1"/>
  <c r="O49" i="1"/>
  <c r="O8" i="1"/>
  <c r="O80" i="1"/>
  <c r="O71" i="1"/>
  <c r="O65" i="1"/>
  <c r="O15" i="1"/>
  <c r="O41" i="1"/>
  <c r="O31" i="1"/>
  <c r="O53" i="1"/>
  <c r="O13" i="1"/>
  <c r="O84" i="1"/>
  <c r="O6" i="1"/>
  <c r="O45" i="1"/>
  <c r="O86" i="1"/>
  <c r="O91" i="1"/>
  <c r="O18" i="1"/>
  <c r="O33" i="1"/>
  <c r="O48" i="1"/>
  <c r="O50" i="1"/>
  <c r="O83" i="1"/>
  <c r="O90" i="1"/>
  <c r="O39" i="1"/>
  <c r="B221" i="13" a="1"/>
  <c r="B221" i="13" l="1"/>
  <c r="B222" i="13"/>
  <c r="B223" i="13"/>
  <c r="O10" i="1" l="1"/>
  <c r="P10" i="1" s="1"/>
  <c r="O40" i="1"/>
  <c r="P40" i="1" s="1"/>
  <c r="O70" i="1"/>
  <c r="P70" i="1" s="1"/>
  <c r="O22" i="1"/>
  <c r="P22" i="1" s="1"/>
  <c r="O28" i="1"/>
  <c r="P28" i="1" s="1"/>
  <c r="O82" i="1"/>
  <c r="P82" i="1" s="1"/>
  <c r="O64" i="1"/>
  <c r="P64" i="1" s="1"/>
  <c r="O34" i="1"/>
  <c r="P34" i="1" s="1"/>
  <c r="O52" i="1"/>
  <c r="P52" i="1" s="1"/>
  <c r="O46" i="1"/>
  <c r="P46" i="1" s="1"/>
  <c r="O88" i="1"/>
  <c r="P88" i="1" s="1"/>
  <c r="O16" i="1"/>
  <c r="P16" i="1" s="1"/>
  <c r="O4" i="1"/>
  <c r="P4" i="1" s="1"/>
  <c r="O76" i="1"/>
  <c r="P76" i="1" s="1"/>
  <c r="O58" i="1"/>
  <c r="P58" i="1" s="1"/>
  <c r="N40" i="18" l="1"/>
  <c r="R34" i="1"/>
  <c r="T40" i="18"/>
  <c r="AL40" i="18"/>
  <c r="T24" i="18"/>
  <c r="AL24" i="18"/>
  <c r="N24" i="18"/>
  <c r="Q34" i="1"/>
  <c r="AJ34" i="1" s="1"/>
  <c r="N16" i="18"/>
  <c r="Z40" i="18"/>
  <c r="AF24" i="18"/>
  <c r="N8" i="18"/>
  <c r="T16" i="18"/>
  <c r="AF8" i="18"/>
  <c r="AF32" i="18"/>
  <c r="T32" i="18"/>
  <c r="AL32" i="18"/>
  <c r="Z32" i="18"/>
  <c r="Z16" i="18"/>
  <c r="AF40" i="18"/>
  <c r="AL8" i="18"/>
  <c r="Z24" i="18"/>
  <c r="N32" i="18"/>
  <c r="Z8" i="18"/>
  <c r="T8" i="18"/>
  <c r="AF16" i="18"/>
  <c r="AL16" i="18"/>
  <c r="Q58" i="1"/>
  <c r="AJ58" i="1" s="1"/>
  <c r="R58" i="1"/>
  <c r="Q64" i="1"/>
  <c r="R64" i="1"/>
  <c r="Q88" i="1"/>
  <c r="AJ88" i="1" s="1"/>
  <c r="R88" i="1"/>
  <c r="Q76" i="1"/>
  <c r="AJ76" i="1" s="1"/>
  <c r="R76" i="1"/>
  <c r="R82" i="1"/>
  <c r="Q82" i="1"/>
  <c r="AJ82" i="1" s="1"/>
  <c r="AI82" i="1" s="1"/>
  <c r="AK82" i="1" s="1"/>
  <c r="AH6" i="18"/>
  <c r="V22" i="18"/>
  <c r="AH22" i="18"/>
  <c r="P14" i="18"/>
  <c r="AB38" i="18"/>
  <c r="J22" i="18"/>
  <c r="V30" i="18"/>
  <c r="AH30" i="18"/>
  <c r="P22" i="18"/>
  <c r="AH38" i="18"/>
  <c r="Q4" i="1"/>
  <c r="AJ4" i="1" s="1"/>
  <c r="AI4" i="1" s="1"/>
  <c r="J38" i="18"/>
  <c r="AB30" i="18"/>
  <c r="J30" i="18"/>
  <c r="V6" i="18"/>
  <c r="P30" i="18"/>
  <c r="AH14" i="18"/>
  <c r="AB22" i="18"/>
  <c r="V38" i="18"/>
  <c r="V14" i="18"/>
  <c r="R4" i="1"/>
  <c r="J14" i="18"/>
  <c r="AB6" i="18"/>
  <c r="AB14" i="18"/>
  <c r="J6" i="18"/>
  <c r="P6" i="18"/>
  <c r="P38" i="18"/>
  <c r="AJ24" i="18"/>
  <c r="L32" i="18"/>
  <c r="X8" i="18"/>
  <c r="AJ32" i="18"/>
  <c r="X32" i="18"/>
  <c r="R16" i="18"/>
  <c r="AD40" i="18"/>
  <c r="R40" i="18"/>
  <c r="AJ16" i="18"/>
  <c r="Q28" i="1"/>
  <c r="AJ28" i="1" s="1"/>
  <c r="L16" i="18"/>
  <c r="AJ8" i="18"/>
  <c r="R28" i="1"/>
  <c r="AD16" i="18"/>
  <c r="AJ40" i="18"/>
  <c r="L8" i="18"/>
  <c r="AD32" i="18"/>
  <c r="AD8" i="18"/>
  <c r="L40" i="18"/>
  <c r="X24" i="18"/>
  <c r="X16" i="18"/>
  <c r="X40" i="18"/>
  <c r="L24" i="18"/>
  <c r="AD24" i="18"/>
  <c r="R24" i="18"/>
  <c r="R32" i="18"/>
  <c r="R8" i="18"/>
  <c r="AF6" i="18"/>
  <c r="T30" i="18"/>
  <c r="N38" i="18"/>
  <c r="AL6" i="18"/>
  <c r="AF30" i="18"/>
  <c r="AF22" i="18"/>
  <c r="AF14" i="18"/>
  <c r="T14" i="18"/>
  <c r="R16" i="1"/>
  <c r="Z14" i="18"/>
  <c r="AL14" i="18"/>
  <c r="T6" i="18"/>
  <c r="AF38" i="18"/>
  <c r="AL38" i="18"/>
  <c r="AL30" i="18"/>
  <c r="Z22" i="18"/>
  <c r="Z38" i="18"/>
  <c r="N30" i="18"/>
  <c r="Z30" i="18"/>
  <c r="Q16" i="1"/>
  <c r="AJ16" i="1" s="1"/>
  <c r="N6" i="18"/>
  <c r="T38" i="18"/>
  <c r="N22" i="18"/>
  <c r="N14" i="18"/>
  <c r="Z6" i="18"/>
  <c r="T22" i="18"/>
  <c r="AL22" i="18"/>
  <c r="AH40" i="18"/>
  <c r="V24" i="18"/>
  <c r="AB16" i="18"/>
  <c r="AB8" i="18"/>
  <c r="AH24" i="18"/>
  <c r="J40" i="18"/>
  <c r="V40" i="18"/>
  <c r="R22" i="1"/>
  <c r="J24" i="18"/>
  <c r="P16" i="18"/>
  <c r="V32" i="18"/>
  <c r="P32" i="18"/>
  <c r="AH32" i="18"/>
  <c r="AH16" i="18"/>
  <c r="V8" i="18"/>
  <c r="P24" i="18"/>
  <c r="P8" i="18"/>
  <c r="V16" i="18"/>
  <c r="AH8" i="18"/>
  <c r="AB24" i="18"/>
  <c r="J8" i="18"/>
  <c r="J32" i="18"/>
  <c r="AB40" i="18"/>
  <c r="J16" i="18"/>
  <c r="AB32" i="18"/>
  <c r="Q22" i="1"/>
  <c r="AJ22" i="1" s="1"/>
  <c r="P40" i="18"/>
  <c r="Q70" i="1"/>
  <c r="AJ70" i="1" s="1"/>
  <c r="R70" i="1"/>
  <c r="R26" i="18"/>
  <c r="X34" i="18"/>
  <c r="R34" i="18"/>
  <c r="AJ42" i="18"/>
  <c r="R42" i="18"/>
  <c r="X42" i="18"/>
  <c r="R46" i="1"/>
  <c r="L10" i="18"/>
  <c r="L42" i="18"/>
  <c r="AD18" i="18"/>
  <c r="X10" i="18"/>
  <c r="R10" i="18"/>
  <c r="X18" i="18"/>
  <c r="AD26" i="18"/>
  <c r="AD10" i="18"/>
  <c r="L18" i="18"/>
  <c r="AJ18" i="18"/>
  <c r="AJ10" i="18"/>
  <c r="X26" i="18"/>
  <c r="AJ34" i="18"/>
  <c r="L34" i="18"/>
  <c r="Q46" i="1"/>
  <c r="AJ46" i="1" s="1"/>
  <c r="AD34" i="18"/>
  <c r="AJ26" i="18"/>
  <c r="R18" i="18"/>
  <c r="AD42" i="18"/>
  <c r="L26" i="18"/>
  <c r="AH26" i="18"/>
  <c r="V18" i="18"/>
  <c r="P18" i="18"/>
  <c r="AB10" i="18"/>
  <c r="AH34" i="18"/>
  <c r="Q40" i="1"/>
  <c r="AJ40" i="1" s="1"/>
  <c r="V10" i="18"/>
  <c r="AH18" i="18"/>
  <c r="J42" i="18"/>
  <c r="AH42" i="18"/>
  <c r="AB34" i="18"/>
  <c r="V34" i="18"/>
  <c r="AB26" i="18"/>
  <c r="AB18" i="18"/>
  <c r="P10" i="18"/>
  <c r="J10" i="18"/>
  <c r="V42" i="18"/>
  <c r="V26" i="18"/>
  <c r="J34" i="18"/>
  <c r="J26" i="18"/>
  <c r="AB42" i="18"/>
  <c r="J18" i="18"/>
  <c r="P26" i="18"/>
  <c r="P42" i="18"/>
  <c r="P34" i="18"/>
  <c r="R40" i="1"/>
  <c r="AH10" i="18"/>
  <c r="Z26" i="18"/>
  <c r="T34" i="18"/>
  <c r="T18" i="18"/>
  <c r="AL18" i="18"/>
  <c r="AL26" i="18"/>
  <c r="AF26" i="18"/>
  <c r="AL42" i="18"/>
  <c r="Z18" i="18"/>
  <c r="Z42" i="18"/>
  <c r="AF18" i="18"/>
  <c r="AF42" i="18"/>
  <c r="N26" i="18"/>
  <c r="AF10" i="18"/>
  <c r="Z34" i="18"/>
  <c r="N18" i="18"/>
  <c r="T10" i="18"/>
  <c r="T42" i="18"/>
  <c r="N10" i="18"/>
  <c r="AL34" i="18"/>
  <c r="AL10" i="18"/>
  <c r="N34" i="18"/>
  <c r="AF34" i="18"/>
  <c r="N42" i="18"/>
  <c r="R52" i="1"/>
  <c r="T26" i="18"/>
  <c r="Q52" i="1"/>
  <c r="AJ52" i="1" s="1"/>
  <c r="Z10" i="18"/>
  <c r="AJ6" i="18"/>
  <c r="X38" i="18"/>
  <c r="R22" i="18"/>
  <c r="R38" i="18"/>
  <c r="Q10" i="1"/>
  <c r="AJ10" i="1" s="1"/>
  <c r="R10" i="1"/>
  <c r="X6" i="18"/>
  <c r="AJ38" i="18"/>
  <c r="X22" i="18"/>
  <c r="R6" i="18"/>
  <c r="AJ30" i="18"/>
  <c r="R30" i="18"/>
  <c r="AJ14" i="18"/>
  <c r="AD6" i="18"/>
  <c r="AD38" i="18"/>
  <c r="L22" i="18"/>
  <c r="X14" i="18"/>
  <c r="L38" i="18"/>
  <c r="AD30" i="18"/>
  <c r="AD22" i="18"/>
  <c r="L14" i="18"/>
  <c r="L6" i="18"/>
  <c r="AD14" i="18"/>
  <c r="AJ22" i="18"/>
  <c r="R14" i="18"/>
  <c r="X30" i="18"/>
  <c r="L30" i="18"/>
  <c r="AI22" i="1" l="1"/>
  <c r="AJ23" i="1"/>
  <c r="AH6" i="19"/>
  <c r="AB46" i="19"/>
  <c r="AH16" i="19"/>
  <c r="AH36" i="19"/>
  <c r="AH26" i="19"/>
  <c r="J36" i="19"/>
  <c r="V26" i="19"/>
  <c r="P26" i="19"/>
  <c r="P36" i="19"/>
  <c r="J6" i="19"/>
  <c r="P46" i="19"/>
  <c r="AB6" i="19"/>
  <c r="P16" i="19"/>
  <c r="V36" i="19"/>
  <c r="J46" i="19"/>
  <c r="P6" i="19"/>
  <c r="J26" i="19"/>
  <c r="J16" i="19"/>
  <c r="V6" i="19"/>
  <c r="AB16" i="19"/>
  <c r="V46" i="19"/>
  <c r="AH46" i="19"/>
  <c r="AB36" i="19"/>
  <c r="AK4" i="1"/>
  <c r="V16" i="19"/>
  <c r="AB26" i="19"/>
  <c r="AJ89" i="1"/>
  <c r="AI88" i="1"/>
  <c r="AK88" i="1" s="1"/>
  <c r="AI34" i="1"/>
  <c r="AJ35" i="1"/>
  <c r="AI16" i="1"/>
  <c r="AJ17" i="1"/>
  <c r="AI17" i="1" s="1"/>
  <c r="AI40" i="1"/>
  <c r="AJ41" i="1"/>
  <c r="AI41" i="1" s="1"/>
  <c r="AI58" i="1"/>
  <c r="AK58" i="1" s="1"/>
  <c r="AJ59" i="1"/>
  <c r="AI52" i="1"/>
  <c r="AJ53" i="1"/>
  <c r="AI28" i="1"/>
  <c r="AJ29" i="1"/>
  <c r="AI29" i="1" s="1"/>
  <c r="AI76" i="1"/>
  <c r="AK76" i="1" s="1"/>
  <c r="AJ77" i="1"/>
  <c r="AI70" i="1"/>
  <c r="AK70" i="1" s="1"/>
  <c r="AJ71" i="1"/>
  <c r="AI71" i="1" s="1"/>
  <c r="AK71" i="1" s="1"/>
  <c r="AJ11" i="1"/>
  <c r="AI11" i="1" s="1"/>
  <c r="AI10" i="1"/>
  <c r="AI46" i="1"/>
  <c r="AJ47" i="1"/>
  <c r="AI47" i="1" l="1"/>
  <c r="AJ48" i="1"/>
  <c r="AH13" i="19"/>
  <c r="AB23" i="19"/>
  <c r="J33" i="19"/>
  <c r="J23" i="19"/>
  <c r="V23" i="19"/>
  <c r="P13" i="19"/>
  <c r="AB53" i="19"/>
  <c r="P23" i="19"/>
  <c r="AH43" i="19"/>
  <c r="J13" i="19"/>
  <c r="AK46" i="1"/>
  <c r="V33" i="19"/>
  <c r="AB13" i="19"/>
  <c r="P33" i="19"/>
  <c r="AH53" i="19"/>
  <c r="AH23" i="19"/>
  <c r="AB33" i="19"/>
  <c r="V13" i="19"/>
  <c r="AH33" i="19"/>
  <c r="AB43" i="19"/>
  <c r="P43" i="19"/>
  <c r="J43" i="19"/>
  <c r="J53" i="19"/>
  <c r="P53" i="19"/>
  <c r="V43" i="19"/>
  <c r="V53" i="19"/>
  <c r="P28" i="19"/>
  <c r="AH18" i="19"/>
  <c r="V18" i="19"/>
  <c r="AB28" i="19"/>
  <c r="P18" i="19"/>
  <c r="AH38" i="19"/>
  <c r="AH8" i="19"/>
  <c r="J38" i="19"/>
  <c r="J48" i="19"/>
  <c r="AB38" i="19"/>
  <c r="P8" i="19"/>
  <c r="V48" i="19"/>
  <c r="V28" i="19"/>
  <c r="AB8" i="19"/>
  <c r="P38" i="19"/>
  <c r="P48" i="19"/>
  <c r="V38" i="19"/>
  <c r="AH28" i="19"/>
  <c r="AB18" i="19"/>
  <c r="AK16" i="1"/>
  <c r="J18" i="19"/>
  <c r="J8" i="19"/>
  <c r="V8" i="19"/>
  <c r="AH48" i="19"/>
  <c r="J28" i="19"/>
  <c r="AB48" i="19"/>
  <c r="AB37" i="19"/>
  <c r="AH17" i="19"/>
  <c r="P47" i="19"/>
  <c r="J37" i="19"/>
  <c r="AK10" i="1"/>
  <c r="V37" i="19"/>
  <c r="AB7" i="19"/>
  <c r="AH47" i="19"/>
  <c r="P27" i="19"/>
  <c r="V17" i="19"/>
  <c r="J7" i="19"/>
  <c r="AH27" i="19"/>
  <c r="AH37" i="19"/>
  <c r="J47" i="19"/>
  <c r="AB47" i="19"/>
  <c r="J27" i="19"/>
  <c r="J17" i="19"/>
  <c r="P37" i="19"/>
  <c r="V47" i="19"/>
  <c r="P7" i="19"/>
  <c r="AB17" i="19"/>
  <c r="AH7" i="19"/>
  <c r="AB27" i="19"/>
  <c r="V27" i="19"/>
  <c r="V7" i="19"/>
  <c r="P17" i="19"/>
  <c r="AI53" i="1"/>
  <c r="AJ54" i="1"/>
  <c r="AJ36" i="1"/>
  <c r="AI35" i="1"/>
  <c r="AJ60" i="1"/>
  <c r="AI60" i="1" s="1"/>
  <c r="AK60" i="1" s="1"/>
  <c r="AI59" i="1"/>
  <c r="AK59" i="1" s="1"/>
  <c r="AK28" i="1"/>
  <c r="V10" i="19"/>
  <c r="AH50" i="19"/>
  <c r="AH40" i="19"/>
  <c r="V30" i="19"/>
  <c r="J10" i="19"/>
  <c r="AB30" i="19"/>
  <c r="AB10" i="19"/>
  <c r="AB50" i="19"/>
  <c r="AB20" i="19"/>
  <c r="J50" i="19"/>
  <c r="V40" i="19"/>
  <c r="P10" i="19"/>
  <c r="P40" i="19"/>
  <c r="V50" i="19"/>
  <c r="V20" i="19"/>
  <c r="J40" i="19"/>
  <c r="J30" i="19"/>
  <c r="AH10" i="19"/>
  <c r="P50" i="19"/>
  <c r="J20" i="19"/>
  <c r="P20" i="19"/>
  <c r="AH20" i="19"/>
  <c r="AH30" i="19"/>
  <c r="AB40" i="19"/>
  <c r="P30" i="19"/>
  <c r="Q27" i="19"/>
  <c r="AC27" i="19"/>
  <c r="K7" i="19"/>
  <c r="Q47" i="19"/>
  <c r="AI27" i="19"/>
  <c r="W17" i="19"/>
  <c r="AC47" i="19"/>
  <c r="K27" i="19"/>
  <c r="Q17" i="19"/>
  <c r="AC7" i="19"/>
  <c r="AI37" i="19"/>
  <c r="AI47" i="19"/>
  <c r="K17" i="19"/>
  <c r="AI7" i="19"/>
  <c r="W47" i="19"/>
  <c r="Q37" i="19"/>
  <c r="AC37" i="19"/>
  <c r="K47" i="19"/>
  <c r="W37" i="19"/>
  <c r="AC17" i="19"/>
  <c r="AK11" i="1"/>
  <c r="W27" i="19"/>
  <c r="W7" i="19"/>
  <c r="K37" i="19"/>
  <c r="AI17" i="19"/>
  <c r="Q7" i="19"/>
  <c r="AH54" i="19"/>
  <c r="J14" i="19"/>
  <c r="AH24" i="19"/>
  <c r="J44" i="19"/>
  <c r="V54" i="19"/>
  <c r="V24" i="19"/>
  <c r="AK52" i="1"/>
  <c r="P24" i="19"/>
  <c r="P34" i="19"/>
  <c r="AH14" i="19"/>
  <c r="AH44" i="19"/>
  <c r="P14" i="19"/>
  <c r="AB34" i="19"/>
  <c r="V44" i="19"/>
  <c r="AB24" i="19"/>
  <c r="J34" i="19"/>
  <c r="J24" i="19"/>
  <c r="J54" i="19"/>
  <c r="P44" i="19"/>
  <c r="V14" i="19"/>
  <c r="V34" i="19"/>
  <c r="AB44" i="19"/>
  <c r="AH34" i="19"/>
  <c r="AB54" i="19"/>
  <c r="AB14" i="19"/>
  <c r="P54" i="19"/>
  <c r="J31" i="19"/>
  <c r="AH21" i="19"/>
  <c r="V51" i="19"/>
  <c r="AB51" i="19"/>
  <c r="AB31" i="19"/>
  <c r="AB11" i="19"/>
  <c r="V41" i="19"/>
  <c r="AB41" i="19"/>
  <c r="AH51" i="19"/>
  <c r="AB21" i="19"/>
  <c r="AH31" i="19"/>
  <c r="P51" i="19"/>
  <c r="V31" i="19"/>
  <c r="P31" i="19"/>
  <c r="V21" i="19"/>
  <c r="J11" i="19"/>
  <c r="AH41" i="19"/>
  <c r="P11" i="19"/>
  <c r="J21" i="19"/>
  <c r="P21" i="19"/>
  <c r="V11" i="19"/>
  <c r="AH11" i="19"/>
  <c r="J51" i="19"/>
  <c r="P41" i="19"/>
  <c r="J41" i="19"/>
  <c r="AK34" i="1"/>
  <c r="AI89" i="1"/>
  <c r="AK89" i="1" s="1"/>
  <c r="AJ90" i="1"/>
  <c r="AI90" i="1" s="1"/>
  <c r="AK90" i="1" s="1"/>
  <c r="AI77" i="1"/>
  <c r="AK77" i="1" s="1"/>
  <c r="AJ78" i="1"/>
  <c r="AK40" i="1"/>
  <c r="AH32" i="19"/>
  <c r="J42" i="19"/>
  <c r="AB52" i="19"/>
  <c r="V32" i="19"/>
  <c r="AB32" i="19"/>
  <c r="P32" i="19"/>
  <c r="V12" i="19"/>
  <c r="P52" i="19"/>
  <c r="AH52" i="19"/>
  <c r="V22" i="19"/>
  <c r="AH42" i="19"/>
  <c r="P22" i="19"/>
  <c r="J12" i="19"/>
  <c r="P42" i="19"/>
  <c r="AB22" i="19"/>
  <c r="J32" i="19"/>
  <c r="AB42" i="19"/>
  <c r="J52" i="19"/>
  <c r="J22" i="19"/>
  <c r="V52" i="19"/>
  <c r="AB12" i="19"/>
  <c r="AH12" i="19"/>
  <c r="P12" i="19"/>
  <c r="V42" i="19"/>
  <c r="AH22" i="19"/>
  <c r="K20" i="19"/>
  <c r="K40" i="19"/>
  <c r="K50" i="19"/>
  <c r="AI20" i="19"/>
  <c r="Q40" i="19"/>
  <c r="AC40" i="19"/>
  <c r="Q50" i="19"/>
  <c r="AI50" i="19"/>
  <c r="Q30" i="19"/>
  <c r="AI40" i="19"/>
  <c r="W20" i="19"/>
  <c r="W40" i="19"/>
  <c r="AC30" i="19"/>
  <c r="AI10" i="19"/>
  <c r="Q20" i="19"/>
  <c r="AK29" i="1"/>
  <c r="W30" i="19"/>
  <c r="W50" i="19"/>
  <c r="AC20" i="19"/>
  <c r="AC10" i="19"/>
  <c r="Q10" i="19"/>
  <c r="W10" i="19"/>
  <c r="AC50" i="19"/>
  <c r="K30" i="19"/>
  <c r="K10" i="19"/>
  <c r="AI30" i="19"/>
  <c r="W18" i="19"/>
  <c r="K38" i="19"/>
  <c r="AI38" i="19"/>
  <c r="W28" i="19"/>
  <c r="Q48" i="19"/>
  <c r="W8" i="19"/>
  <c r="AK17" i="1"/>
  <c r="Q8" i="19"/>
  <c r="AC48" i="19"/>
  <c r="K48" i="19"/>
  <c r="K28" i="19"/>
  <c r="K18" i="19"/>
  <c r="AC38" i="19"/>
  <c r="AI8" i="19"/>
  <c r="AI18" i="19"/>
  <c r="W48" i="19"/>
  <c r="Q18" i="19"/>
  <c r="W38" i="19"/>
  <c r="AC28" i="19"/>
  <c r="K8" i="19"/>
  <c r="Q38" i="19"/>
  <c r="AI48" i="19"/>
  <c r="Q28" i="19"/>
  <c r="AI28" i="19"/>
  <c r="AC8" i="19"/>
  <c r="AC18" i="19"/>
  <c r="AI23" i="1"/>
  <c r="AJ24" i="1"/>
  <c r="AI24" i="1" s="1"/>
  <c r="AI12" i="19"/>
  <c r="K52" i="19"/>
  <c r="K22" i="19"/>
  <c r="W32" i="19"/>
  <c r="AC12" i="19"/>
  <c r="AI52" i="19"/>
  <c r="AI32" i="19"/>
  <c r="K32" i="19"/>
  <c r="K42" i="19"/>
  <c r="Q12" i="19"/>
  <c r="Q32" i="19"/>
  <c r="AC32" i="19"/>
  <c r="W12" i="19"/>
  <c r="AC22" i="19"/>
  <c r="W22" i="19"/>
  <c r="AI42" i="19"/>
  <c r="Q22" i="19"/>
  <c r="Q42" i="19"/>
  <c r="AK41" i="1"/>
  <c r="AC52" i="19"/>
  <c r="W42" i="19"/>
  <c r="AC42" i="19"/>
  <c r="Q52" i="19"/>
  <c r="K12" i="19"/>
  <c r="AI22" i="19"/>
  <c r="W52" i="19"/>
  <c r="AK22" i="1"/>
  <c r="J19" i="19"/>
  <c r="V9" i="19"/>
  <c r="P49" i="19"/>
  <c r="AB19" i="19"/>
  <c r="V19" i="19"/>
  <c r="J39" i="19"/>
  <c r="P29" i="19"/>
  <c r="J9" i="19"/>
  <c r="J49" i="19"/>
  <c r="V49" i="19"/>
  <c r="AH29" i="19"/>
  <c r="V29" i="19"/>
  <c r="P39" i="19"/>
  <c r="AB49" i="19"/>
  <c r="AB9" i="19"/>
  <c r="AB39" i="19"/>
  <c r="P9" i="19"/>
  <c r="AH19" i="19"/>
  <c r="AH9" i="19"/>
  <c r="P19" i="19"/>
  <c r="AH39" i="19"/>
  <c r="AH49" i="19"/>
  <c r="AB29" i="19"/>
  <c r="V39" i="19"/>
  <c r="J29" i="19"/>
  <c r="AD49" i="19" l="1"/>
  <c r="L39" i="19"/>
  <c r="R19" i="19"/>
  <c r="X9" i="19"/>
  <c r="AJ29" i="19"/>
  <c r="R29" i="19"/>
  <c r="X39" i="19"/>
  <c r="AD19" i="19"/>
  <c r="L9" i="19"/>
  <c r="AD29" i="19"/>
  <c r="AJ39" i="19"/>
  <c r="X29" i="19"/>
  <c r="L49" i="19"/>
  <c r="R49" i="19"/>
  <c r="X19" i="19"/>
  <c r="R39" i="19"/>
  <c r="AJ19" i="19"/>
  <c r="AD39" i="19"/>
  <c r="AK24" i="1"/>
  <c r="L29" i="19"/>
  <c r="AJ9" i="19"/>
  <c r="L19" i="19"/>
  <c r="AJ49" i="19"/>
  <c r="R9" i="19"/>
  <c r="X49" i="19"/>
  <c r="AD9" i="19"/>
  <c r="AC41" i="19"/>
  <c r="Q51" i="19"/>
  <c r="AI11" i="19"/>
  <c r="Q21" i="19"/>
  <c r="K41" i="19"/>
  <c r="W21" i="19"/>
  <c r="AC51" i="19"/>
  <c r="Q11" i="19"/>
  <c r="K11" i="19"/>
  <c r="K51" i="19"/>
  <c r="AI21" i="19"/>
  <c r="AC31" i="19"/>
  <c r="AK35" i="1"/>
  <c r="Q31" i="19"/>
  <c r="W51" i="19"/>
  <c r="W41" i="19"/>
  <c r="AI31" i="19"/>
  <c r="K21" i="19"/>
  <c r="K31" i="19"/>
  <c r="AI51" i="19"/>
  <c r="AC21" i="19"/>
  <c r="W31" i="19"/>
  <c r="W11" i="19"/>
  <c r="AI41" i="19"/>
  <c r="Q41" i="19"/>
  <c r="AC11" i="19"/>
  <c r="AJ37" i="1"/>
  <c r="AI37" i="1" s="1"/>
  <c r="AI36" i="1"/>
  <c r="AI78" i="1"/>
  <c r="AK78" i="1" s="1"/>
  <c r="AJ79" i="1"/>
  <c r="AI79" i="1" s="1"/>
  <c r="AK79" i="1" s="1"/>
  <c r="AJ55" i="1"/>
  <c r="AI55" i="1" s="1"/>
  <c r="AI54" i="1"/>
  <c r="AI48" i="1"/>
  <c r="AJ49" i="1"/>
  <c r="AI49" i="1" s="1"/>
  <c r="AI19" i="19"/>
  <c r="Q29" i="19"/>
  <c r="AI9" i="19"/>
  <c r="K19" i="19"/>
  <c r="W29" i="19"/>
  <c r="K29" i="19"/>
  <c r="AI39" i="19"/>
  <c r="W49" i="19"/>
  <c r="Q19" i="19"/>
  <c r="Q9" i="19"/>
  <c r="Q39" i="19"/>
  <c r="AC49" i="19"/>
  <c r="Q49" i="19"/>
  <c r="K39" i="19"/>
  <c r="AC39" i="19"/>
  <c r="K49" i="19"/>
  <c r="AK23" i="1"/>
  <c r="W19" i="19"/>
  <c r="AC9" i="19"/>
  <c r="AC29" i="19"/>
  <c r="K9" i="19"/>
  <c r="AI29" i="19"/>
  <c r="W39" i="19"/>
  <c r="AC19" i="19"/>
  <c r="AI49" i="19"/>
  <c r="W9" i="19"/>
  <c r="W34" i="19"/>
  <c r="Q34" i="19"/>
  <c r="K34" i="19"/>
  <c r="Q14" i="19"/>
  <c r="AI44" i="19"/>
  <c r="Q44" i="19"/>
  <c r="K54" i="19"/>
  <c r="AC14" i="19"/>
  <c r="AI54" i="19"/>
  <c r="W44" i="19"/>
  <c r="W54" i="19"/>
  <c r="W14" i="19"/>
  <c r="Q54" i="19"/>
  <c r="W24" i="19"/>
  <c r="AC24" i="19"/>
  <c r="AI24" i="19"/>
  <c r="K14" i="19"/>
  <c r="K44" i="19"/>
  <c r="Q24" i="19"/>
  <c r="AC44" i="19"/>
  <c r="AK53" i="1"/>
  <c r="K24" i="19"/>
  <c r="AC54" i="19"/>
  <c r="AC34" i="19"/>
  <c r="AI34" i="19"/>
  <c r="AI14" i="19"/>
  <c r="AI13" i="19"/>
  <c r="AI43" i="19"/>
  <c r="AI33" i="19"/>
  <c r="AC33" i="19"/>
  <c r="AC53" i="19"/>
  <c r="AK47" i="1"/>
  <c r="AC13" i="19"/>
  <c r="Q33" i="19"/>
  <c r="K13" i="19"/>
  <c r="K33" i="19"/>
  <c r="W23" i="19"/>
  <c r="W53" i="19"/>
  <c r="W13" i="19"/>
  <c r="AI53" i="19"/>
  <c r="AI23" i="19"/>
  <c r="Q13" i="19"/>
  <c r="K23" i="19"/>
  <c r="AC43" i="19"/>
  <c r="W33" i="19"/>
  <c r="Q43" i="19"/>
  <c r="Q53" i="19"/>
  <c r="K53" i="19"/>
  <c r="W43" i="19"/>
  <c r="Q23" i="19"/>
  <c r="K43" i="19"/>
  <c r="AC23" i="19"/>
  <c r="S21" i="19" l="1"/>
  <c r="Y51" i="19"/>
  <c r="AK31" i="19"/>
  <c r="Y31" i="19"/>
  <c r="AE11" i="19"/>
  <c r="AK21" i="19"/>
  <c r="AE21" i="19"/>
  <c r="S11" i="19"/>
  <c r="Y41" i="19"/>
  <c r="AE41" i="19"/>
  <c r="M31" i="19"/>
  <c r="AK37" i="1"/>
  <c r="Y11" i="19"/>
  <c r="S41" i="19"/>
  <c r="S51" i="19"/>
  <c r="M11" i="19"/>
  <c r="M21" i="19"/>
  <c r="S31" i="19"/>
  <c r="AK11" i="19"/>
  <c r="AK41" i="19"/>
  <c r="AE51" i="19"/>
  <c r="M41" i="19"/>
  <c r="AE31" i="19"/>
  <c r="AK51" i="19"/>
  <c r="M51" i="19"/>
  <c r="Y21" i="19"/>
  <c r="X41" i="19"/>
  <c r="AD41" i="19"/>
  <c r="L41" i="19"/>
  <c r="AD51" i="19"/>
  <c r="AK36" i="1"/>
  <c r="AJ11" i="19"/>
  <c r="L21" i="19"/>
  <c r="X21" i="19"/>
  <c r="L31" i="19"/>
  <c r="AJ21" i="19"/>
  <c r="AJ31" i="19"/>
  <c r="AD11" i="19"/>
  <c r="X11" i="19"/>
  <c r="AD31" i="19"/>
  <c r="R51" i="19"/>
  <c r="R11" i="19"/>
  <c r="AD21" i="19"/>
  <c r="R31" i="19"/>
  <c r="L51" i="19"/>
  <c r="X31" i="19"/>
  <c r="X51" i="19"/>
  <c r="R21" i="19"/>
  <c r="AJ41" i="19"/>
  <c r="AJ51" i="19"/>
  <c r="L11" i="19"/>
  <c r="R41" i="19"/>
  <c r="Y33" i="19"/>
  <c r="AE13" i="19"/>
  <c r="S53" i="19"/>
  <c r="M23" i="19"/>
  <c r="M43" i="19"/>
  <c r="S13" i="19"/>
  <c r="AE53" i="19"/>
  <c r="S23" i="19"/>
  <c r="AE23" i="19"/>
  <c r="Y43" i="19"/>
  <c r="Y23" i="19"/>
  <c r="Y53" i="19"/>
  <c r="AE43" i="19"/>
  <c r="AK33" i="19"/>
  <c r="S33" i="19"/>
  <c r="S43" i="19"/>
  <c r="AK23" i="19"/>
  <c r="M13" i="19"/>
  <c r="AE33" i="19"/>
  <c r="Y13" i="19"/>
  <c r="AK49" i="1"/>
  <c r="M53" i="19"/>
  <c r="AK53" i="19"/>
  <c r="AK43" i="19"/>
  <c r="M33" i="19"/>
  <c r="AK13" i="19"/>
  <c r="AJ53" i="19"/>
  <c r="L53" i="19"/>
  <c r="X33" i="19"/>
  <c r="R33" i="19"/>
  <c r="X23" i="19"/>
  <c r="AD23" i="19"/>
  <c r="X43" i="19"/>
  <c r="L33" i="19"/>
  <c r="AD33" i="19"/>
  <c r="AJ23" i="19"/>
  <c r="AD13" i="19"/>
  <c r="R43" i="19"/>
  <c r="L43" i="19"/>
  <c r="X53" i="19"/>
  <c r="L23" i="19"/>
  <c r="L13" i="19"/>
  <c r="AJ33" i="19"/>
  <c r="AK48" i="1"/>
  <c r="R23" i="19"/>
  <c r="AD53" i="19"/>
  <c r="AD43" i="19"/>
  <c r="R53" i="19"/>
  <c r="R13" i="19"/>
  <c r="AJ13" i="19"/>
  <c r="X13" i="19"/>
  <c r="AJ43" i="19"/>
  <c r="R54" i="19"/>
  <c r="AJ24" i="19"/>
  <c r="X24" i="19"/>
  <c r="R34" i="19"/>
  <c r="R14" i="19"/>
  <c r="L14" i="19"/>
  <c r="AJ34" i="19"/>
  <c r="X14" i="19"/>
  <c r="AD14" i="19"/>
  <c r="X44" i="19"/>
  <c r="AD54" i="19"/>
  <c r="X54" i="19"/>
  <c r="AJ14" i="19"/>
  <c r="AK54" i="1"/>
  <c r="X34" i="19"/>
  <c r="AD24" i="19"/>
  <c r="L34" i="19"/>
  <c r="R44" i="19"/>
  <c r="AD44" i="19"/>
  <c r="L44" i="19"/>
  <c r="AD34" i="19"/>
  <c r="L54" i="19"/>
  <c r="R24" i="19"/>
  <c r="AJ54" i="19"/>
  <c r="L24" i="19"/>
  <c r="AJ44" i="19"/>
  <c r="AE14" i="19"/>
  <c r="AE54" i="19"/>
  <c r="AE34" i="19"/>
  <c r="S14" i="19"/>
  <c r="M34" i="19"/>
  <c r="AE24" i="19"/>
  <c r="AK55" i="1"/>
  <c r="Y24" i="19"/>
  <c r="Y54" i="19"/>
  <c r="M54" i="19"/>
  <c r="S44" i="19"/>
  <c r="S34" i="19"/>
  <c r="AK54" i="19"/>
  <c r="AK44" i="19"/>
  <c r="M44" i="19"/>
  <c r="Y44" i="19"/>
  <c r="AK24" i="19"/>
  <c r="M24" i="19"/>
  <c r="Y34" i="19"/>
  <c r="AE44" i="19"/>
  <c r="Y14" i="19"/>
  <c r="M14" i="19"/>
  <c r="AK14" i="19"/>
  <c r="AK34" i="19"/>
  <c r="S24" i="19"/>
  <c r="S54" i="19"/>
</calcChain>
</file>

<file path=xl/comments1.xml><?xml version="1.0" encoding="utf-8"?>
<comments xmlns="http://schemas.openxmlformats.org/spreadsheetml/2006/main">
  <authors>
    <author>Willy Alexander Vijalba Caballero</author>
    <author>Soporte APC-Colombia</author>
  </authors>
  <commentList>
    <comment ref="B2" authorId="0" shapeId="0">
      <text>
        <r>
          <rPr>
            <b/>
            <sz val="9"/>
            <color indexed="81"/>
            <rFont val="Tahoma"/>
            <family val="2"/>
          </rPr>
          <t>Willy Alexander Vijalba Caballero:</t>
        </r>
        <r>
          <rPr>
            <sz val="9"/>
            <color indexed="81"/>
            <rFont val="Tahoma"/>
            <family val="2"/>
          </rPr>
          <t xml:space="preserve">
Registrar el activo o activos de información del proceso, que en la columna AN (Nivel) del formato de activos de información, sea Alto o Muy Alto, ya que estos son denominados activos críticos y se les debe hacer el tratamiento de riesgos.</t>
        </r>
      </text>
    </comment>
    <comment ref="C2" authorId="0" shapeId="0">
      <text>
        <r>
          <rPr>
            <b/>
            <sz val="9"/>
            <color indexed="81"/>
            <rFont val="Tahoma"/>
            <family val="2"/>
          </rPr>
          <t>Willy Alexander Vijalba Caballero:</t>
        </r>
        <r>
          <rPr>
            <sz val="9"/>
            <color indexed="81"/>
            <rFont val="Tahoma"/>
            <family val="2"/>
          </rPr>
          <t xml:space="preserve">
Seleccionar el proceso al que pertenece el activo</t>
        </r>
      </text>
    </comment>
    <comment ref="D2" authorId="0" shapeId="0">
      <text>
        <r>
          <rPr>
            <b/>
            <sz val="9"/>
            <color indexed="81"/>
            <rFont val="Tahoma"/>
            <family val="2"/>
          </rPr>
          <t>Willy Alexander Vijalba Caballero:</t>
        </r>
        <r>
          <rPr>
            <sz val="9"/>
            <color indexed="81"/>
            <rFont val="Tahoma"/>
            <family val="2"/>
          </rPr>
          <t xml:space="preserve">
Analice las consecuencias que puede ocasionar a la organización la materialización del riesgoy sleecione una opción de la lista</t>
        </r>
      </text>
    </comment>
    <comment ref="E2" authorId="0" shapeId="0">
      <text>
        <r>
          <rPr>
            <b/>
            <sz val="9"/>
            <color indexed="81"/>
            <rFont val="Tahoma"/>
            <family val="2"/>
          </rPr>
          <t>Willy Alexander Vijalba Caballero:</t>
        </r>
        <r>
          <rPr>
            <sz val="9"/>
            <color indexed="81"/>
            <rFont val="Tahoma"/>
            <family val="2"/>
          </rPr>
          <t xml:space="preserve">
Causa  principal  o básica, corresponde a las razones por la cuales se puede presentar  el riesgo, redacte de la forma más concreta posible.
O las vulnerabilidades a nivel se seguridad de la información</t>
        </r>
      </text>
    </comment>
    <comment ref="F2" authorId="0" shapeId="0">
      <text>
        <r>
          <rPr>
            <b/>
            <sz val="9"/>
            <color indexed="81"/>
            <rFont val="Tahoma"/>
            <family val="2"/>
          </rPr>
          <t>Willy Alexander Vijalba Caballero:</t>
        </r>
        <r>
          <rPr>
            <sz val="9"/>
            <color indexed="81"/>
            <rFont val="Tahoma"/>
            <family val="2"/>
          </rPr>
          <t xml:space="preserve">
Causa  principal  o básica, corresponde a las razones por la cuales se puede presentar  el riesgo, redacte de la forma más concreta posible.
O Amenza a nivel de seguridad de la información</t>
        </r>
      </text>
    </comment>
    <comment ref="G2" authorId="0" shapeId="0">
      <text>
        <r>
          <rPr>
            <b/>
            <sz val="9"/>
            <color indexed="81"/>
            <rFont val="Tahoma"/>
            <family val="2"/>
          </rPr>
          <t>Willy Alexander Vijalba Caballero:</t>
        </r>
        <r>
          <rPr>
            <sz val="9"/>
            <color indexed="81"/>
            <rFont val="Tahoma"/>
            <family val="2"/>
          </rPr>
          <t xml:space="preserve">
Tenga en cuenta la estructura de alto nivel establecida en al guía de  la Función Pública. Inicia con POSIBILIDAD DE + Impacto para la entidad (Qué) + Causa Inmediata (Cómo) + Causa Raíz (Por qué)</t>
        </r>
      </text>
    </comment>
    <comment ref="H2" authorId="0" shapeId="0">
      <text>
        <r>
          <rPr>
            <b/>
            <sz val="9"/>
            <color indexed="81"/>
            <rFont val="Tahoma"/>
            <family val="2"/>
          </rPr>
          <t>Willy Alexander Vijalba Caballero:</t>
        </r>
        <r>
          <rPr>
            <sz val="9"/>
            <color indexed="81"/>
            <rFont val="Tahoma"/>
            <family val="2"/>
          </rPr>
          <t xml:space="preserve">
Seleccione un opción de la lista</t>
        </r>
      </text>
    </comment>
    <comment ref="I2" authorId="0" shapeId="0">
      <text>
        <r>
          <rPr>
            <b/>
            <sz val="9"/>
            <color indexed="81"/>
            <rFont val="Tahoma"/>
            <family val="2"/>
          </rPr>
          <t>Willy Alexander Vijalba Caballero:</t>
        </r>
        <r>
          <rPr>
            <sz val="9"/>
            <color indexed="81"/>
            <rFont val="Tahoma"/>
            <family val="2"/>
          </rPr>
          <t xml:space="preserve">
Tipo Compromiso de la informaciòn, las amenasas que pueden ser de este tipo son: Espionaje remoto, hurto de medioo o documentos, hurto de equipos, divulgaciòn..</t>
        </r>
      </text>
    </comment>
    <comment ref="J2" authorId="0" shapeId="0">
      <text>
        <r>
          <rPr>
            <b/>
            <sz val="9"/>
            <color indexed="81"/>
            <rFont val="Tahoma"/>
            <family val="2"/>
          </rPr>
          <t>Willy Alexander Vijalba Caballero:</t>
        </r>
        <r>
          <rPr>
            <sz val="9"/>
            <color indexed="81"/>
            <rFont val="Tahoma"/>
            <family val="2"/>
          </rPr>
          <t xml:space="preserve">
Posibles consecuencias que puedan enfrentar la entidad o el proceso a causa de la materializacion del riesgo.
Ejemplo: posible retraso en el pago de nómina</t>
        </r>
      </text>
    </comment>
    <comment ref="K2" authorId="0" shapeId="0">
      <text>
        <r>
          <rPr>
            <b/>
            <sz val="9"/>
            <color indexed="81"/>
            <rFont val="Tahoma"/>
            <family val="2"/>
          </rPr>
          <t>Willy Alexander Vijalba Caballero:</t>
        </r>
        <r>
          <rPr>
            <sz val="9"/>
            <color indexed="81"/>
            <rFont val="Tahoma"/>
            <family val="2"/>
          </rPr>
          <t xml:space="preserve">
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t>
        </r>
      </text>
    </comment>
    <comment ref="AE3" authorId="0" shapeId="0">
      <text>
        <r>
          <rPr>
            <b/>
            <sz val="9"/>
            <color indexed="81"/>
            <rFont val="Tahoma"/>
            <family val="2"/>
          </rPr>
          <t>Willy Alexander Vijalba Caballero:</t>
        </r>
        <r>
          <rPr>
            <sz val="9"/>
            <color indexed="81"/>
            <rFont val="Tahoma"/>
            <family val="2"/>
          </rPr>
          <t xml:space="preserve">
Periodos en los que se realiza el contro:
diario
Semanal
1 Vez al Mes
Mensual
etc</t>
        </r>
      </text>
    </comment>
    <comment ref="AF3" authorId="0" shapeId="0">
      <text>
        <r>
          <rPr>
            <b/>
            <sz val="9"/>
            <color indexed="81"/>
            <rFont val="Tahoma"/>
            <family val="2"/>
          </rPr>
          <t>Willy Alexander Vijalba Caballero:</t>
        </r>
        <r>
          <rPr>
            <sz val="9"/>
            <color indexed="81"/>
            <rFont val="Tahoma"/>
            <family val="2"/>
          </rPr>
          <t xml:space="preserve">
Eficacia: Ïndice de cumplimiento de actividades = (# de actividades cumplidas / # de actividades programadas)*100
Efectividad: Efectividad del plan de manejo de riesgos = (# de modificaciones no autorizadas)</t>
        </r>
      </text>
    </comment>
    <comment ref="AP4" authorId="1" shapeId="0">
      <text>
        <r>
          <rPr>
            <b/>
            <sz val="9"/>
            <color indexed="81"/>
            <rFont val="Tahoma"/>
            <family val="2"/>
          </rPr>
          <t>Soporte APC-Colombia:</t>
        </r>
        <r>
          <rPr>
            <sz val="9"/>
            <color indexed="81"/>
            <rFont val="Tahoma"/>
            <family val="2"/>
          </rPr>
          <t xml:space="preserve">
Control: Toma de conciencia.
</t>
        </r>
      </text>
    </comment>
    <comment ref="AP28" authorId="1" shapeId="0">
      <text>
        <r>
          <rPr>
            <b/>
            <sz val="9"/>
            <color indexed="81"/>
            <rFont val="Tahoma"/>
            <family val="2"/>
          </rPr>
          <t>Soporte APC-Colombia:</t>
        </r>
        <r>
          <rPr>
            <sz val="9"/>
            <color indexed="81"/>
            <rFont val="Tahoma"/>
            <family val="2"/>
          </rPr>
          <t xml:space="preserve">
A.14.1.1 </t>
        </r>
      </text>
    </comment>
    <comment ref="B40" authorId="1" shapeId="0">
      <text>
        <r>
          <rPr>
            <b/>
            <sz val="9"/>
            <color indexed="81"/>
            <rFont val="Tahoma"/>
            <family val="2"/>
          </rPr>
          <t>Soporte APC-Colombia:</t>
        </r>
        <r>
          <rPr>
            <sz val="9"/>
            <color indexed="81"/>
            <rFont val="Tahoma"/>
            <family val="2"/>
          </rPr>
          <t xml:space="preserve">
Es servicio o es un software?</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<sst xmlns="http://schemas.openxmlformats.org/spreadsheetml/2006/main" count="1331" uniqueCount="557">
  <si>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</si>
  <si>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</si>
  <si>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</si>
  <si>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</si>
  <si>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</si>
  <si>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</si>
  <si>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</si>
  <si>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</si>
  <si>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</si>
  <si>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</si>
  <si>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</si>
  <si>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</si>
  <si>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</si>
  <si>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</si>
  <si>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</si>
  <si>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</si>
  <si>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</si>
  <si>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</si>
  <si>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</si>
  <si>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</si>
  <si>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</si>
  <si>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</si>
  <si>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</si>
  <si>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</si>
  <si>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</si>
  <si>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</si>
  <si>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</si>
  <si>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</si>
  <si>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</si>
  <si>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</si>
  <si>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</si>
  <si>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</si>
  <si>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</si>
  <si>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</si>
  <si>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</si>
  <si>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</si>
  <si>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</si>
  <si>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</si>
  <si>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</si>
  <si>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</si>
  <si>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</si>
  <si>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</si>
  <si>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</si>
  <si>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</si>
  <si>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</si>
  <si>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</si>
  <si>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</si>
  <si>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</si>
  <si>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</si>
  <si>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</si>
  <si>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</si>
  <si>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</si>
  <si>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</si>
  <si>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</si>
  <si>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</si>
  <si>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</si>
  <si>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</si>
  <si>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</si>
  <si>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</si>
  <si>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</si>
  <si>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</si>
  <si>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</si>
  <si>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</si>
  <si>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</si>
  <si>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</si>
  <si>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</si>
  <si>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</si>
  <si>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</si>
  <si>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</si>
  <si>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</si>
  <si>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</si>
  <si>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</si>
  <si>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</si>
  <si>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</si>
  <si>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</si>
  <si>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</si>
  <si>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</si>
  <si>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</si>
  <si>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</si>
  <si>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</si>
  <si>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</si>
  <si>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</si>
  <si>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</si>
  <si>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</si>
  <si>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</si>
  <si>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</si>
  <si>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</si>
  <si>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</si>
  <si>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</si>
  <si>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</si>
  <si>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</si>
  <si>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</si>
  <si>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</si>
  <si>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</si>
  <si>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</si>
  <si>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</si>
  <si>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</si>
  <si>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</si>
  <si>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</si>
  <si>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</si>
  <si>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</si>
  <si>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</si>
  <si>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</si>
  <si>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</si>
  <si>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</si>
  <si>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</si>
  <si>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</si>
  <si>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</si>
  <si>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</si>
  <si>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</si>
  <si>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</si>
  <si>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</si>
  <si>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</si>
  <si>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</si>
  <si>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</si>
  <si>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</si>
  <si>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</si>
  <si>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</si>
  <si>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</si>
  <si>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</si>
  <si>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</si>
  <si>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</si>
  <si>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</si>
  <si>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</si>
  <si>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</si>
  <si>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</si>
  <si>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</si>
  <si>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</si>
  <si>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</si>
  <si>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</si>
  <si>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</si>
  <si>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</si>
  <si>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</si>
  <si>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</si>
  <si>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</si>
  <si>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</si>
  <si>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</si>
  <si>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</si>
  <si>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</si>
  <si>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</si>
  <si>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</si>
  <si>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</si>
  <si>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</si>
  <si>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</si>
  <si>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</si>
  <si>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</si>
  <si>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</si>
  <si>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</si>
  <si>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</si>
  <si>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</si>
  <si>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</si>
  <si>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</si>
  <si>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</si>
  <si>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</si>
  <si>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</si>
  <si>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</si>
  <si>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</si>
  <si>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</si>
  <si>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</si>
  <si>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</si>
  <si>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</si>
  <si>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</si>
  <si>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</si>
  <si>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</si>
  <si>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</si>
  <si>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</si>
  <si>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</si>
  <si>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</si>
  <si>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</si>
  <si>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</si>
  <si>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</si>
  <si>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</si>
  <si>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</si>
  <si>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</si>
  <si>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</si>
  <si>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</si>
  <si>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</si>
  <si>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</si>
  <si>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</si>
  <si>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</si>
  <si>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</si>
  <si>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</si>
  <si>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</si>
  <si>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</si>
  <si>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</si>
  <si>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</si>
  <si>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</si>
  <si>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</si>
  <si>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</si>
  <si>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</si>
  <si>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</si>
  <si>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</si>
  <si>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</si>
  <si>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</si>
  <si>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</si>
  <si>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</si>
  <si>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</si>
  <si>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</si>
  <si>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</si>
  <si>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</si>
  <si>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</si>
  <si>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</si>
  <si>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</si>
  <si>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</si>
  <si>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</si>
  <si>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</si>
  <si>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</si>
  <si>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</si>
  <si>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Descripción del Activo</t>
  </si>
  <si>
    <t>Procesos</t>
  </si>
  <si>
    <t>Direccionamiento Estratégico y Planeación</t>
  </si>
  <si>
    <t>Gestión de Comunicaciones.</t>
  </si>
  <si>
    <t>Identificación y Priorización de Cooperación Internacional</t>
  </si>
  <si>
    <t>Preparación y Formulación de Cooperación Internacional</t>
  </si>
  <si>
    <t>Implementación y Seguimiento de Cooperación Internacional</t>
  </si>
  <si>
    <t>Gestión de Talento Humano</t>
  </si>
  <si>
    <t>Gestión Contractual</t>
  </si>
  <si>
    <t>Gestión Jurídica</t>
  </si>
  <si>
    <t>Gestión de Tecnologías de la Información</t>
  </si>
  <si>
    <t>Gestión Financiera</t>
  </si>
  <si>
    <t>Gestión de Servicio al Ciudadano</t>
  </si>
  <si>
    <t>Gestión Administrativa</t>
  </si>
  <si>
    <t>Evaluación, Control y Mejoramiento</t>
  </si>
  <si>
    <t xml:space="preserve">Proceso </t>
  </si>
  <si>
    <t>Consecuencia</t>
  </si>
  <si>
    <t>Los encabezdos de color rojo pertenecen a variables  Adicionales para la Identificación del riesgo seguridad de la Información</t>
  </si>
  <si>
    <t>Soporte</t>
  </si>
  <si>
    <t>Tiempo</t>
  </si>
  <si>
    <t>Indicador</t>
  </si>
  <si>
    <t>Objetivo de Control</t>
  </si>
  <si>
    <t>Controles</t>
  </si>
  <si>
    <t>Control General</t>
  </si>
  <si>
    <t>CONTROLES</t>
  </si>
  <si>
    <t>TIPOS</t>
  </si>
  <si>
    <t>Daño físico</t>
  </si>
  <si>
    <t>Eventos naturales</t>
  </si>
  <si>
    <t>Fallas técnicas</t>
  </si>
  <si>
    <t>Pérdida de los servicios esenciales</t>
  </si>
  <si>
    <t>Perturbación debida a la radiación</t>
  </si>
  <si>
    <t>Compromiso de la información</t>
  </si>
  <si>
    <t>Acciones no autorizadas</t>
  </si>
  <si>
    <t>Compromiso de las funciones</t>
  </si>
  <si>
    <t>Pirata informático, intruso ilegal</t>
  </si>
  <si>
    <t>Criminal de la computación</t>
  </si>
  <si>
    <t>Terrorismo</t>
  </si>
  <si>
    <t>Espionaje industrial
(Inteligencia, empresas, gobiernos extranjeros, otros intereses gubernamentales)</t>
  </si>
  <si>
    <t>Intrusos (empleados con entrenamiento deficiente, descontentos, malintencionados, negligentes, deshonestos o despedidos)</t>
  </si>
  <si>
    <t>Ausencia de controles de protecciòn de la informaciòn</t>
  </si>
  <si>
    <t>N/A</t>
  </si>
  <si>
    <t>Eficacia</t>
  </si>
  <si>
    <t>Efectividad</t>
  </si>
  <si>
    <t>Ïndice de cumplimiento de actividades = (# de actividades cumplidas / # de actividades programadas)*100</t>
  </si>
  <si>
    <t>INDICADOR</t>
  </si>
  <si>
    <t>Efectividad del plan de manejo de riesgos = (# de modificaciones no autorizadas)</t>
  </si>
  <si>
    <t>Acceso no autorizado
Borrado no autorizados</t>
  </si>
  <si>
    <t>Personas internas</t>
  </si>
  <si>
    <t xml:space="preserve">Perdida de la información, inadecuada. </t>
  </si>
  <si>
    <t>Profesional Especializado / Asesora de Comunicaiones</t>
  </si>
  <si>
    <t>Anual</t>
  </si>
  <si>
    <t>Información- Manuales -Manual de imagen</t>
  </si>
  <si>
    <t>En la consulta y acceso personas internas modifican, borran o manipulan o entregan a un  externo el documento</t>
  </si>
  <si>
    <t xml:space="preserve">Pérdida de la información, o imformación errada. </t>
  </si>
  <si>
    <t>Profesional Especializado / Asesora de Comunicaciones</t>
  </si>
  <si>
    <t>Profesional Especializado Control Interno</t>
  </si>
  <si>
    <t>Información- Planes-Plan de Comunicaciones</t>
  </si>
  <si>
    <t>Acceso no autorizado
Borrado o cambios no autorizados</t>
  </si>
  <si>
    <t>Difundir información de la Agencia sin autorización o por canales no oficiales y/o personas  no auotrizadas</t>
  </si>
  <si>
    <t>Socialización al personal sobre la existencia del plan estrategico de comunicacione - PEC en canales internos.</t>
  </si>
  <si>
    <t>Acta</t>
  </si>
  <si>
    <t>Oficialización del documento en Brújula y socialización a los colaboradores de la Agencia y ubicar  el archivo en la intranet solo para descarga</t>
  </si>
  <si>
    <t>6/012/2021</t>
  </si>
  <si>
    <t xml:space="preserve">Acceso de usuarios no autorizados
</t>
  </si>
  <si>
    <t>Acceso de usuarios no autorizados
Error de las personas con autorización al momento de registrar la información
Ataques externos a la información de la Agencia</t>
  </si>
  <si>
    <t>Pérdida o modificación no autorizada de la matriz de seguimiento a los certificados de utilidad comun -CUC</t>
  </si>
  <si>
    <t>Pérdida de registros históricos que pueden ser consultados por entidades externas</t>
  </si>
  <si>
    <t>Validación periodica de la integridad y coherencia de la información registrada</t>
  </si>
  <si>
    <t>Definición de permisos de modificación de la información registrada.</t>
  </si>
  <si>
    <t>Correos con solicitud de revision y aclaración de información</t>
  </si>
  <si>
    <t>Archivo con permisos</t>
  </si>
  <si>
    <t>Profesional especializado</t>
  </si>
  <si>
    <t>Profesional especializado Demanda/ Profesional Especializado TICS</t>
  </si>
  <si>
    <t>Coordinadoras de equipos bilateral y multilateral</t>
  </si>
  <si>
    <t>Gestión de administración de Recursos y donaciones en especie</t>
  </si>
  <si>
    <t>Mal uso del sistema de información en el aplicativo cíclope</t>
  </si>
  <si>
    <t>Personas interno</t>
  </si>
  <si>
    <t>Grupo interno de Administracion de Recursos de cooperacion Internacional no Reembolsables y Donaciones en Especie</t>
  </si>
  <si>
    <t>Cada vez 
que se 
requiera</t>
  </si>
  <si>
    <t>Versiones desactualizadas</t>
  </si>
  <si>
    <t>Ataquetes de fuerza bruta</t>
  </si>
  <si>
    <t>El sistema se encuentra susuptible a ataques de fuerza bruta como sql inyeccion, por el uso de versiones obsolotas</t>
  </si>
  <si>
    <t>Perdida y daño de información.</t>
  </si>
  <si>
    <t>Posibilidad de pérdida de documentos físicos soporte de las obligaciones presupuestales y comprobantes contables manuales que se encuentran en archivo de gestión por el acceso no autorizado a los mismos</t>
  </si>
  <si>
    <t>El coordinador del Grupo Interno de Trabajo de Gestión Financiera y de Servicios Administrativos registra en la planilla "Control préstamo de documentos" el expediente o carpeta solicitada, con fecha y firma de quien queda en custodia de la misma mientras se encuentra en calidad de préstamo</t>
  </si>
  <si>
    <t>A-FO-077 Control préstamo de documentos</t>
  </si>
  <si>
    <t>El coordinador del Grupo Interno de Trabajo de Gestión Financiera y de Servicios Administrativos</t>
  </si>
  <si>
    <t>No realizar préstamos de archivo de gestión sin registro en cuadro control</t>
  </si>
  <si>
    <t>Profesional con funciones contable</t>
  </si>
  <si>
    <t>01-Ene</t>
  </si>
  <si>
    <t>31-Dic</t>
  </si>
  <si>
    <t>Actas de reunión de pruebas del sistema en entorno de pruebas para autorización de paso a producción</t>
  </si>
  <si>
    <t>Profesional Especializado</t>
  </si>
  <si>
    <t>Profesional Especializado TICS / Planeación</t>
  </si>
  <si>
    <t>Profesional Especializado TICS</t>
  </si>
  <si>
    <t>Actualización de parches de la versión actual y ajustes a la base de datos</t>
  </si>
  <si>
    <t>Pérdida o modificación no autorizada de la información que se resguarda en las carpetas compartidas.</t>
  </si>
  <si>
    <t>Perdida, daño o modificación de la información</t>
  </si>
  <si>
    <t>Borrado o cambios de la información</t>
  </si>
  <si>
    <t>Backup de la información en discos</t>
  </si>
  <si>
    <t>Registros de backup realizadas en la herramienta veeam backup</t>
  </si>
  <si>
    <t>Backup de la información en cinta (cintas guardas fuera de la Agencia)</t>
  </si>
  <si>
    <t>Implementar el plan de recuperación de desastres de la Agencia.</t>
  </si>
  <si>
    <t>Mensual</t>
  </si>
  <si>
    <t>Borrado o cambios de la información contenida en los servidores
Daño de sistema operativo</t>
  </si>
  <si>
    <t>Pérdida o modificación no autorizada de la información que se resguarda en en los servidores, daño de sistema operativos.</t>
  </si>
  <si>
    <t>Perdiada de información
Servicios informativos inactivos como: carpetas compartidas, ingreso a plicaciónes, conexiones a bases de datos</t>
  </si>
  <si>
    <t>Personal interno y externo</t>
  </si>
  <si>
    <t>Perdida, daño o modificación de la información y de sistemas operativos.</t>
  </si>
  <si>
    <t>Actualización de versiones</t>
  </si>
  <si>
    <t>Actas de implementación y actualización de nuevas versiones</t>
  </si>
  <si>
    <t>Profesional Universitario</t>
  </si>
  <si>
    <t>Renovación de soporte y suscripciones</t>
  </si>
  <si>
    <t>Contratos de renovación de licenciamiento y soporte</t>
  </si>
  <si>
    <t>Contrato de soporte</t>
  </si>
  <si>
    <t xml:space="preserve">Cambio de versión </t>
  </si>
  <si>
    <t xml:space="preserve">Pérdida de documentos </t>
  </si>
  <si>
    <t xml:space="preserve">Acceso no autorizado al archivo de gestión  por personas externa o internas </t>
  </si>
  <si>
    <t>Información - Unidad compartida Contiene información documental sobre; Estudios previos, contratos, seguimientos, y demás asociados a la gestión de la Agencia.</t>
  </si>
  <si>
    <t>Software - Sistema de gestión documental - Orfeo</t>
  </si>
  <si>
    <t>MENSUAL</t>
  </si>
  <si>
    <t>Software - Itop</t>
  </si>
  <si>
    <t>Sin certificado SSL</t>
  </si>
  <si>
    <t xml:space="preserve">Falla en el software
</t>
  </si>
  <si>
    <t>Versionamiento del software en el repositorio git</t>
  </si>
  <si>
    <t>Registro de cambios y versiones en el repositorio git</t>
  </si>
  <si>
    <t>Información - SERVIDORES VIRTUALES SISTEMA OPERATIVO WINDOWS SERVER 2012; ZEUS, EUNICE, ATENEO, HEBEZK, HEBE, MCAFFEEDR, METIS, CRONOS, HERA, ferir SERVIDOR ARCHIVOS, platon SERVIDOR ARCHIVOS, FENIX, KRAKEN, QUIMERA, CENTAURO, CALISTA, ELECTRA, KRONOX, VEEAM fenix (IDRAC) Y GORGONAS, TARTAROS</t>
  </si>
  <si>
    <t>Actas</t>
  </si>
  <si>
    <t>Debido al acceso no autorizado,  personas internas modifican, borran o manipulan o entregan a un  externo el documento.</t>
  </si>
  <si>
    <t>Informacion - no aplica: Matriz de seguimiento a la gestión de los certificados de utilidad común. (CUC).</t>
  </si>
  <si>
    <t>Implementar controles de acceso a la información.</t>
  </si>
  <si>
    <t>Persona - No aplica
Módulo de Donaciones en Especie, en el cual se carga la información de las donaciones recibidas y tener a la mano su histórico y Módulo de Administración de Recursos, en el cual se registran los datos del donante y montos de los recursos otorgados al gobierno de Colombia con el fin de ejecutarlos según la voluntad del Donante (Cíclope).</t>
  </si>
  <si>
    <t>Antes de guardar, el sistema le solicita verificar la información registrada.</t>
  </si>
  <si>
    <t>Para el modulo de administración de recursos cualquier modificación debe ser revisada por la opciíon de control de cambios, aceptada por el Coordinador del Grupo.</t>
  </si>
  <si>
    <t>Validacion de entrada de datos de acuerdo a las reglas del negocio.</t>
  </si>
  <si>
    <t>Código fuente documentado.</t>
  </si>
  <si>
    <t>Registro del versionamiento de las modificaciones.</t>
  </si>
  <si>
    <t>Reportes.</t>
  </si>
  <si>
    <t>Capacitación al personal en el buen uso de la herramienta.</t>
  </si>
  <si>
    <t>Software - Sistema  tecnológico diseñado con un enfoque de procesos para el seguimiento del Sistema de Gestión Integrado (Brujula).</t>
  </si>
  <si>
    <t>Contratos de soporte suscritos entre el proveedor y la Agencia</t>
  </si>
  <si>
    <t>Versiones desactualizadas, plataforma sin soporte.
Consola de antivirus no actualizada.</t>
  </si>
  <si>
    <t>Virus informático. Software con código malicioso.</t>
  </si>
  <si>
    <t>Al no contar con una versión actualizada, se expone a la entidad a no contar con listas de virus actualizadas.</t>
  </si>
  <si>
    <t>Software - Programa informático para la liquidación de la nómina de los empleados: Asignación Básica, factores salariales, la seguridad social, los parafiscales, Cesantías, deducciones de ley y autorizadas y efectuar la liquidación de prestaciones sociales a empleados activos y a los que se retiran de la Entidad (SARA).</t>
  </si>
  <si>
    <t>Versiones desactualizadas
Parametrización errónea del sistema.</t>
  </si>
  <si>
    <t>El sistema se encuentra susceptible a ataques de fuerza bruta como SQL inyeccion, por el uso de versiones obsoletas.
El sistema no realiza adecuadamente los cálculos por parametrización errónea.</t>
  </si>
  <si>
    <t>Liquidación de nómina con errores.</t>
  </si>
  <si>
    <t>Información - Estudios previos y ejecución de proyectos, proyectos de arquitectura TiCS, actualización de documentación de la infraestructura, pruebas funcionales de la infraestructura, actualización de sistemas operativos, actualización de sitios web, inventarios de ipv6 e ipv4 asignados.Actividades de seguridad, antivirus, cctv, ciclope, correctivo, correo, diagnósticos, diseño de arquitectura, estudios previos, ipv6, mise, nos, Orfeo, pagina web, planta eléctrica, sara, servidores, sofia.</t>
  </si>
  <si>
    <t>Posibilidad de pérdida de documentos que se encuentran en archivo de gestión por el acceso no autorizado al mismo.</t>
  </si>
  <si>
    <t xml:space="preserve">Sanciones disciplinarias.
Pérdida de información.
Multas. </t>
  </si>
  <si>
    <t xml:space="preserve">Ataques de fuerza bruta. </t>
  </si>
  <si>
    <t xml:space="preserve">El sistema se encuentra susceptible a ataques de fuerza bruta. </t>
  </si>
  <si>
    <t>Instalación del certificado SSL en el ambiente productivo.</t>
  </si>
  <si>
    <t>Información - SERVIDORES VIRTUALES SISTEMA O`PERATIVO UBUNTU COLOMBIAPAZ, LOKI, NEPTUNO, POSEIDON, MCAFEEL, SECURITAS, AFRIDITA, afrodita pruebas, PANDORA, MICROSAING, VCSUCUPSS, PRUEBAS BD ITOP, thor SERVIDOR BACKUP RETIRADOS, gitlab, miseralavel, miseprobd, mise, misebd, misearchivo, promise, orfeo, orfeo nuevo pruebas nuevo, pagina web NUEVA pruebas, pagina web NUEVA pruebas, PAGINA WEB NUEVA, DENIS,  VEEAMPROXI, VCENTER, UPDATE MANAGER, ARES.</t>
  </si>
  <si>
    <t>Pérdida o modificación no autorizada de la información que se resguarda en los servidores, daño de sistema operativo.</t>
  </si>
  <si>
    <t>Información-COMPROBANTES CONTABLES (comprobantes contables manuales y obligaciones presupuestales).</t>
  </si>
  <si>
    <t>Pérdida de documentos físicos de gestión de obligaciones prespuestales y comprobantes contables manuales.</t>
  </si>
  <si>
    <t>Acceso no autorizado al archivo de gestión de obligaciones y comprobantes contables manuales  por personas externas o internas.</t>
  </si>
  <si>
    <t xml:space="preserve">Multas y Sanciones disciplinarias.  </t>
  </si>
  <si>
    <t>POLITICAS DE LA SEGURIDAD DE LA INFORMACIÓN</t>
  </si>
  <si>
    <t>ORGANIZACIÓN DE LA SEGURIDAD DE LA INFORMACION</t>
  </si>
  <si>
    <t>SEGURIDAD DE LOS RECURSOS HUMANOS</t>
  </si>
  <si>
    <t>GESTIÓN DE ACTIVOS</t>
  </si>
  <si>
    <t>CONTROL DE ACCESO</t>
  </si>
  <si>
    <t>CRIPTOGRAFÍA</t>
  </si>
  <si>
    <t>SEGURIDAD FÍSICA Y DEL ENTORNO</t>
  </si>
  <si>
    <t xml:space="preserve">SEGURIDAD DE LAS OPERACIONES </t>
  </si>
  <si>
    <t>SEGURIDAD DE LAS COMUNICACIONES</t>
  </si>
  <si>
    <t>RELACIONES CON LOS PROVEEDORES</t>
  </si>
  <si>
    <t>GESTIÓN DE INCIDENTES DE SEGURIDAD DE LA INFORMACIÓN</t>
  </si>
  <si>
    <t>CUMPLIMIENTO</t>
  </si>
  <si>
    <t>Orientación de la dirección para la gestión de la seguridad de la información</t>
  </si>
  <si>
    <t xml:space="preserve">Políticas para la seguridad de la información </t>
  </si>
  <si>
    <t xml:space="preserve">Revisión de las políticas para la seguridad de la información </t>
  </si>
  <si>
    <t>Organización interna</t>
  </si>
  <si>
    <t xml:space="preserve">Roles y responsabilidades para la seguridad de la información </t>
  </si>
  <si>
    <t>Separación de deberes</t>
  </si>
  <si>
    <t>Contacto con las autoridades</t>
  </si>
  <si>
    <t>Contacto con grupos de interés especial</t>
  </si>
  <si>
    <t>Seguridad de la información en la gestión de proyectos</t>
  </si>
  <si>
    <t>Dispositivos móviles y teletrabajo</t>
  </si>
  <si>
    <t>Política para dispositivos móviles</t>
  </si>
  <si>
    <t>Teletrabajo</t>
  </si>
  <si>
    <t>Antes de asumir el empleo</t>
  </si>
  <si>
    <t xml:space="preserve">Selección </t>
  </si>
  <si>
    <t>Términos y condiciones del empleo</t>
  </si>
  <si>
    <t>Durante la ejecución del empleo</t>
  </si>
  <si>
    <t>Responsabilidades de la dirección</t>
  </si>
  <si>
    <t>Toma de conciencia educación y formación en la seguridad de la información</t>
  </si>
  <si>
    <t>Proceso disciplinario</t>
  </si>
  <si>
    <t>Terminación y cambio de empleo</t>
  </si>
  <si>
    <t>Terminación o cambio de responsabilidades de empleo</t>
  </si>
  <si>
    <t>Responsabilidad por los activos</t>
  </si>
  <si>
    <t>Inventario de activos</t>
  </si>
  <si>
    <t>Propiedad de los activos</t>
  </si>
  <si>
    <t>Uso aceptable de los activos</t>
  </si>
  <si>
    <t>Devolución de activos</t>
  </si>
  <si>
    <t>Clasificación de la información</t>
  </si>
  <si>
    <t>Etiquetado de la información</t>
  </si>
  <si>
    <t>Manejo de activos</t>
  </si>
  <si>
    <t>Manejo de medios</t>
  </si>
  <si>
    <t>Gestión de medios removibles</t>
  </si>
  <si>
    <t>Disposición de los medios</t>
  </si>
  <si>
    <t>Transferencia de medios físicos</t>
  </si>
  <si>
    <t>Requisitos del negocio para control de acceso</t>
  </si>
  <si>
    <t>Política de control de acceso</t>
  </si>
  <si>
    <t>Acceso a redes y a servicios en red</t>
  </si>
  <si>
    <t>Gestión de acceso de usuarios</t>
  </si>
  <si>
    <t>Registro y cancelación del registro de usuarios</t>
  </si>
  <si>
    <t>Suministro de acceso de usuarios</t>
  </si>
  <si>
    <t>Gestión de derechos de acceso privilegiado</t>
  </si>
  <si>
    <t>Gestión de información de autenticación secreta de usuarios</t>
  </si>
  <si>
    <t xml:space="preserve"> Revisión de los derechos de acceso de usuarios</t>
  </si>
  <si>
    <t>Retiro o ajuste de los derechos de acceso</t>
  </si>
  <si>
    <t>Responsabilidades de los usuarios</t>
  </si>
  <si>
    <t>Uso de información de autenticación secreta</t>
  </si>
  <si>
    <t xml:space="preserve">Control de acceso a sistemas y aplicaciones </t>
  </si>
  <si>
    <t>Restricción de acceso a la información</t>
  </si>
  <si>
    <t>Procedimiento de ingreso seguro</t>
  </si>
  <si>
    <t xml:space="preserve">Sistema de gestión de contraseñas </t>
  </si>
  <si>
    <t>Uso de programas utilitarios privilegiados</t>
  </si>
  <si>
    <t>Control de acceso a códigos fuente de programas</t>
  </si>
  <si>
    <t>Controles criptográficos</t>
  </si>
  <si>
    <t>Política sobre el uso de controles criptográficos</t>
  </si>
  <si>
    <t>Gestión de llaves</t>
  </si>
  <si>
    <t>Áreas seguras</t>
  </si>
  <si>
    <t>Perímetro de seguridad física</t>
  </si>
  <si>
    <t>Controles de acceso físicos</t>
  </si>
  <si>
    <t>Seguridad de oficinas recintos e instalaciones</t>
  </si>
  <si>
    <t>Protección contra amenazas externas y ambientales</t>
  </si>
  <si>
    <t>Trabajo en áreas seguras</t>
  </si>
  <si>
    <t>Áreas de despacho y carga</t>
  </si>
  <si>
    <t>Equipos</t>
  </si>
  <si>
    <t>Ubicación y protección de los equipos</t>
  </si>
  <si>
    <t>Servicios de suministro</t>
  </si>
  <si>
    <t>Seguridad del cableado</t>
  </si>
  <si>
    <t>Mantenimiento de equipos</t>
  </si>
  <si>
    <t>Retiro de activos</t>
  </si>
  <si>
    <t>Seguridad de equipos y activos fuera de las instalaciones</t>
  </si>
  <si>
    <t>Disposición segura o reutilización de equipos</t>
  </si>
  <si>
    <t>Equipos de usuario desatendido</t>
  </si>
  <si>
    <t>Política de escritorio limpio y pantalla limpia</t>
  </si>
  <si>
    <t>Procedimientos operacionales y responsabilidades</t>
  </si>
  <si>
    <t>Procedimientos de operación documentados</t>
  </si>
  <si>
    <t>Gestión de cambios</t>
  </si>
  <si>
    <t>Gestión de capacidad</t>
  </si>
  <si>
    <t>Separación de los ambientes de desarrollo pruebas y operación</t>
  </si>
  <si>
    <t>Protección contra códigos maliciosos</t>
  </si>
  <si>
    <t>Controles contra códigos maliciosos</t>
  </si>
  <si>
    <t>Copias de respaldo</t>
  </si>
  <si>
    <t>Respaldo de la información</t>
  </si>
  <si>
    <t>Registro de eventos</t>
  </si>
  <si>
    <t>Protección de la información de registro</t>
  </si>
  <si>
    <t>Registros del administrador y del operado</t>
  </si>
  <si>
    <t>Sincronización de relojes</t>
  </si>
  <si>
    <t>Registro y seguimiento</t>
  </si>
  <si>
    <t>Control de software operacional</t>
  </si>
  <si>
    <t>Instalación de software en sistemas operativos</t>
  </si>
  <si>
    <t>Gestión de la vulnerabilidad técnica</t>
  </si>
  <si>
    <t xml:space="preserve">Gestión de las vulnerabilidades técnicas </t>
  </si>
  <si>
    <t>Restricciones sobre la instalación de software</t>
  </si>
  <si>
    <t>Consideraciones sobre auditorías de sistemas de información</t>
  </si>
  <si>
    <t>Controles de auditorías de sistemas de información</t>
  </si>
  <si>
    <t>Gestión de la seguridad de las redes</t>
  </si>
  <si>
    <t>Controles de redes</t>
  </si>
  <si>
    <t>Seguridad de los servicios de red</t>
  </si>
  <si>
    <t>Separación en las redes</t>
  </si>
  <si>
    <t>Transferencia de información</t>
  </si>
  <si>
    <t>Políticas y procedimientos de transferencia de información</t>
  </si>
  <si>
    <t>Acuerdos sobre transferencia de información</t>
  </si>
  <si>
    <t>Mensajería electrónica</t>
  </si>
  <si>
    <t>Acuerdos de confidencialidad o de no divulgación</t>
  </si>
  <si>
    <t>ADQUISICIÓN DESARROLLO Y MANTENIMIENTO DE SISTEMAS</t>
  </si>
  <si>
    <t>Requisitos de seguridad de los sistemas de información</t>
  </si>
  <si>
    <t xml:space="preserve">Análisis y especificación de requisitos de seguridad de la información </t>
  </si>
  <si>
    <t>Seguridad de servicios de las aplicaciones en redes públicas</t>
  </si>
  <si>
    <t>Protección de transacciones de los servicios de las aplicaciones</t>
  </si>
  <si>
    <t>Seguridad en los procesos de desarrollo y de soporte</t>
  </si>
  <si>
    <t>Política de desarrollo seguro</t>
  </si>
  <si>
    <t>Procedimientos de control de cambios en sistemas</t>
  </si>
  <si>
    <t>Revisión técnica de las aplicaciones después de cambios en la plataforma de operación</t>
  </si>
  <si>
    <t>Restricciones en los cambios a los paquetes de software</t>
  </si>
  <si>
    <t>Principios de construcción de los sistemas seguros</t>
  </si>
  <si>
    <t>Ambiente de desarrollo seguro</t>
  </si>
  <si>
    <t>Desarrollo contratado externamente</t>
  </si>
  <si>
    <t>Pruebas de seguridad de sistemas</t>
  </si>
  <si>
    <t>Prueba de aceptación de sistemas</t>
  </si>
  <si>
    <t>Datos de prueba</t>
  </si>
  <si>
    <t>Protección de datos de prueba</t>
  </si>
  <si>
    <t>Seguridad de la información en las relaciones con los proveedores</t>
  </si>
  <si>
    <t>Política de seguridad de la información para las relaciones con proveedores</t>
  </si>
  <si>
    <t>Tratamiento de la seguridad dentro de los acuerdos con proveedores</t>
  </si>
  <si>
    <t>Cadena de suministro de tecnología de información y comunicación</t>
  </si>
  <si>
    <t>Gestión de la prestación de servicios de proveedores</t>
  </si>
  <si>
    <t>Seguimiento y revisión de los servicios de los proveedores</t>
  </si>
  <si>
    <t>Gestión de cambios en los servicios de los proveedores</t>
  </si>
  <si>
    <t>Gestión de incidentes y mejoras en la seguridad de la información</t>
  </si>
  <si>
    <t>Responsabilidades y procedimientos</t>
  </si>
  <si>
    <t>Reporte de eventos de seguridad de la información</t>
  </si>
  <si>
    <t>Reporte de debilidades de seguridad de la información</t>
  </si>
  <si>
    <t>Evaluación de eventos de seguridad de la información y decisiones sobre ellos.</t>
  </si>
  <si>
    <t>Respuesta a incidentes de seguridad de la información</t>
  </si>
  <si>
    <t>Aprendizaje obtenido de los incidentes de seguridad de la información</t>
  </si>
  <si>
    <t>Recolección de evidencia</t>
  </si>
  <si>
    <t>Continuidad de seguridad de la información</t>
  </si>
  <si>
    <t>Planificación de la continuidad de la seguridad de la información</t>
  </si>
  <si>
    <t>Implementación de la continuidad de la seguridad de la información</t>
  </si>
  <si>
    <t>Verificación, revisión y evaluación de la continuidad de la seguridad de la información</t>
  </si>
  <si>
    <t>Redundancias</t>
  </si>
  <si>
    <t>Disponibilidad de instalaciones de procesamiento de información.</t>
  </si>
  <si>
    <t>Cumplimiento de requisitos legales y contractuales</t>
  </si>
  <si>
    <t>Identificación de la legislación aplicable y de los requisitos contractuales</t>
  </si>
  <si>
    <t>Derechos de propiedad intelectual</t>
  </si>
  <si>
    <t>Protección de registros</t>
  </si>
  <si>
    <t xml:space="preserve">Privacidad y protección de información de datos personales </t>
  </si>
  <si>
    <t>Reglamentación de controles criptográficos</t>
  </si>
  <si>
    <t>Revisiones de seguridad de la información</t>
  </si>
  <si>
    <t>Revisión independiente de la seguridad de la información</t>
  </si>
  <si>
    <t>Cumplimiento con las políticas y normas de seguridad</t>
  </si>
  <si>
    <t>Revisión del cumplimiento técnico</t>
  </si>
  <si>
    <t>ASPECTOS DE SEGURIDAD DE LA INFORMACION DE LA GESTIÓN DE CONTINUIDAD DE NEGOCIO.</t>
  </si>
  <si>
    <t>SEGURIDAD DE LAS OPERACIONES</t>
  </si>
  <si>
    <t>Profesional Grupo de administración de recursos</t>
  </si>
  <si>
    <t>Software  -que protege los dispositivos la red con un enfoque de defensa por capas. Este enfoque protege los dispositivos individuales y toda la red a través del análisis de virus y spyware</t>
  </si>
  <si>
    <t>Contratos de soporte para el sitema</t>
  </si>
  <si>
    <t>Asignación de permisos por LDAP</t>
  </si>
  <si>
    <t>Registro de permisos en el directorio activo</t>
  </si>
  <si>
    <t>Asignación de permisos en la carpeta, de lectura, escritura. Solo para usuarios registrados en LDAP</t>
  </si>
  <si>
    <t>Registro de permisos en las opciones de seguridad de las carpetas</t>
  </si>
  <si>
    <t>Capacitaciones del manejo de la herramienta a los usuarios funsionales</t>
  </si>
  <si>
    <t>Soporte de mantenimiento y actualizaciones</t>
  </si>
  <si>
    <t>Listas de asistencia</t>
  </si>
  <si>
    <t>Registro del sistema de backup veeam</t>
  </si>
  <si>
    <t>Profesional Espesializado</t>
  </si>
  <si>
    <t xml:space="preserve">Posibilidad de afectación en APC Colombia en cuanto a la información registrada en el módulo de donaciones en especie, que puede causar la desinformación debido al mal uso del aplicativo. </t>
  </si>
  <si>
    <t>Sin certificado SSL , IP expuestas</t>
  </si>
  <si>
    <t xml:space="preserve">Informacion - REGISTROS Y RADICACIÓN DE LA PQRS CON SUS CORRESPONDIENTES ANEXOS     </t>
  </si>
  <si>
    <t xml:space="preserve">Susceptible a que la información con relación a las PQRSD sea sustraída y manipulada por personas no autorizadas de su Soporte y custodialo. </t>
  </si>
  <si>
    <t xml:space="preserve">Persona interna o externa  que  no tenga autorización o  realización  con el  Soporte y custodia. </t>
  </si>
  <si>
    <t>Perdida de la información.</t>
  </si>
  <si>
    <t>Login de usuario con designación de perfiles y roles en el sistema</t>
  </si>
  <si>
    <t>Registro en el sistema Orfeo</t>
  </si>
  <si>
    <t>Coordinadora del grupo Financiero y de servicios administrativos</t>
  </si>
  <si>
    <t>Sensibilizaciones sobre temas relacionados en seguridad de la información y las comunicaciones</t>
  </si>
  <si>
    <t>Capacitación al personal, a través de la socialización de la información, para buen uso y conocimientos de las póliticas de seguridad.</t>
  </si>
  <si>
    <t>Documentos publicados en el sistema Brújula</t>
  </si>
  <si>
    <r>
      <t xml:space="preserve">Causa Inmediata // </t>
    </r>
    <r>
      <rPr>
        <b/>
        <sz val="12"/>
        <color rgb="FFFF0000"/>
        <rFont val="Arial Narrow"/>
        <family val="2"/>
      </rPr>
      <t>Vulnerabilidades</t>
    </r>
  </si>
  <si>
    <r>
      <t>Causa Raíz / /</t>
    </r>
    <r>
      <rPr>
        <b/>
        <sz val="12"/>
        <color rgb="FFFF0000"/>
        <rFont val="Arial Narrow"/>
        <family val="2"/>
      </rPr>
      <t xml:space="preserve"> Amenaza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</si>
</sst>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2"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8"/>
      <color theme="1"/>
      <name val="Arial"/>
      <family val="2"/>
    </font>
    <font>
      <b/>
      <sz val="10"/>
      <color theme="1"/>
      <name val="Calibri"/>
      <family val="2"/>
      <scheme val="minor"/>
    </font>
    <font>
      <sz val="9"/>
      <color indexed="81"/>
      <name val="Tahoma"/>
      <family val="2"/>
    </font>
    <font>
      <b/>
      <sz val="9"/>
      <color indexed="81"/>
      <name val="Tahoma"/>
      <family val="2"/>
    </font>
    <font>
      <b/>
      <sz val="12"/>
      <color theme="1"/>
      <name val="Arial Narrow"/>
      <family val="2"/>
    </font>
    <font>
      <b/>
      <sz val="12"/>
      <color rgb="FFFF0000"/>
      <name val="Arial Narrow"/>
      <family val="2"/>
    </font>
    <font>
      <sz val="12"/>
      <name val="Arial Narrow"/>
      <family val="2"/>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34998626667073579"/>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435">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11" xfId="0" applyFont="1" applyFill="1" applyBorder="1" applyAlignment="1">
      <alignment horizontal="center" vertical="center" wrapText="1" readingOrder="1"/>
    </xf>
    <xf numFmtId="0" fontId="8" fillId="0" borderId="11" xfId="0" applyFont="1" applyBorder="1" applyAlignment="1">
      <alignment horizontal="justify" vertical="center" wrapText="1" readingOrder="1"/>
    </xf>
    <xf numFmtId="9" fontId="8" fillId="0" borderId="11"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Fill="1" applyAlignment="1">
      <alignment vertical="center"/>
    </xf>
    <xf numFmtId="0" fontId="26" fillId="0" borderId="0" xfId="0" applyFont="1" applyFill="1"/>
    <xf numFmtId="0" fontId="24" fillId="0" borderId="0" xfId="0" applyFont="1"/>
    <xf numFmtId="0" fontId="0" fillId="0" borderId="0" xfId="0" pivotButton="1"/>
    <xf numFmtId="0" fontId="10" fillId="0" borderId="0" xfId="0" applyFont="1" applyBorder="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11"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11"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11"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12" xfId="0" applyFont="1" applyFill="1" applyBorder="1" applyAlignment="1" applyProtection="1">
      <alignment horizontal="center" vertical="center" wrapText="1" readingOrder="1"/>
      <protection hidden="1"/>
    </xf>
    <xf numFmtId="0" fontId="17" fillId="11" borderId="19" xfId="0" applyFont="1" applyFill="1" applyBorder="1" applyAlignment="1" applyProtection="1">
      <alignment horizontal="center" vertical="center" wrapText="1" readingOrder="1"/>
      <protection hidden="1"/>
    </xf>
    <xf numFmtId="0" fontId="17" fillId="11" borderId="13" xfId="0" applyFont="1" applyFill="1" applyBorder="1" applyAlignment="1" applyProtection="1">
      <alignment horizontal="center" vertic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19" xfId="0" applyFont="1" applyFill="1" applyBorder="1" applyAlignment="1" applyProtection="1">
      <alignment horizontal="center" wrapText="1" readingOrder="1"/>
      <protection hidden="1"/>
    </xf>
    <xf numFmtId="0" fontId="17" fillId="12" borderId="13" xfId="0" applyFont="1" applyFill="1" applyBorder="1" applyAlignment="1" applyProtection="1">
      <alignment horizontal="center" wrapText="1" readingOrder="1"/>
      <protection hidden="1"/>
    </xf>
    <xf numFmtId="0" fontId="17" fillId="11" borderId="14" xfId="0" applyFont="1" applyFill="1" applyBorder="1" applyAlignment="1" applyProtection="1">
      <alignment horizontal="center" vertical="center" wrapText="1" readingOrder="1"/>
      <protection hidden="1"/>
    </xf>
    <xf numFmtId="0" fontId="17" fillId="11" borderId="0" xfId="0" applyFont="1" applyFill="1" applyBorder="1" applyAlignment="1" applyProtection="1">
      <alignment horizontal="center" vertical="center" wrapText="1" readingOrder="1"/>
      <protection hidden="1"/>
    </xf>
    <xf numFmtId="0" fontId="17" fillId="11" borderId="15" xfId="0" applyFont="1" applyFill="1" applyBorder="1" applyAlignment="1" applyProtection="1">
      <alignment horizontal="center" vertical="center" wrapText="1" readingOrder="1"/>
      <protection hidden="1"/>
    </xf>
    <xf numFmtId="0" fontId="17" fillId="12" borderId="14" xfId="0" applyFont="1" applyFill="1" applyBorder="1" applyAlignment="1" applyProtection="1">
      <alignment horizontal="center" wrapText="1" readingOrder="1"/>
      <protection hidden="1"/>
    </xf>
    <xf numFmtId="0" fontId="17" fillId="12" borderId="0" xfId="0" applyFont="1" applyFill="1" applyBorder="1" applyAlignment="1" applyProtection="1">
      <alignment horizontal="center" wrapText="1" readingOrder="1"/>
      <protection hidden="1"/>
    </xf>
    <xf numFmtId="0" fontId="17" fillId="12" borderId="15" xfId="0" applyFont="1" applyFill="1" applyBorder="1" applyAlignment="1" applyProtection="1">
      <alignment horizont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16" xfId="0" applyFont="1" applyFill="1" applyBorder="1" applyAlignment="1" applyProtection="1">
      <alignment horizontal="center" vertical="center" wrapText="1" readingOrder="1"/>
      <protection hidden="1"/>
    </xf>
    <xf numFmtId="0" fontId="17" fillId="11" borderId="18" xfId="0" applyFont="1" applyFill="1" applyBorder="1" applyAlignment="1" applyProtection="1">
      <alignment horizontal="center" vertical="center" wrapText="1" readingOrder="1"/>
      <protection hidden="1"/>
    </xf>
    <xf numFmtId="0" fontId="17" fillId="11" borderId="17" xfId="0" applyFont="1" applyFill="1" applyBorder="1" applyAlignment="1" applyProtection="1">
      <alignment horizontal="center" vertical="center" wrapText="1" readingOrder="1"/>
      <protection hidden="1"/>
    </xf>
    <xf numFmtId="0" fontId="17" fillId="12" borderId="16" xfId="0" applyFont="1" applyFill="1" applyBorder="1" applyAlignment="1" applyProtection="1">
      <alignment horizontal="center" wrapText="1" readingOrder="1"/>
      <protection hidden="1"/>
    </xf>
    <xf numFmtId="0" fontId="17" fillId="12" borderId="18" xfId="0" applyFont="1" applyFill="1" applyBorder="1" applyAlignment="1" applyProtection="1">
      <alignment horizontal="center" wrapText="1" readingOrder="1"/>
      <protection hidden="1"/>
    </xf>
    <xf numFmtId="0" fontId="17" fillId="12" borderId="17"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19" xfId="0" applyFont="1" applyFill="1" applyBorder="1" applyAlignment="1" applyProtection="1">
      <alignment horizontal="center" wrapText="1" readingOrder="1"/>
      <protection hidden="1"/>
    </xf>
    <xf numFmtId="0" fontId="17" fillId="13" borderId="13" xfId="0" applyFont="1" applyFill="1" applyBorder="1" applyAlignment="1" applyProtection="1">
      <alignment horizontal="center" wrapText="1" readingOrder="1"/>
      <protection hidden="1"/>
    </xf>
    <xf numFmtId="0" fontId="17" fillId="13" borderId="14" xfId="0" applyFont="1" applyFill="1" applyBorder="1" applyAlignment="1" applyProtection="1">
      <alignment horizontal="center" wrapText="1" readingOrder="1"/>
      <protection hidden="1"/>
    </xf>
    <xf numFmtId="0" fontId="17" fillId="13" borderId="0" xfId="0" applyFont="1" applyFill="1" applyBorder="1" applyAlignment="1" applyProtection="1">
      <alignment horizontal="center" wrapText="1" readingOrder="1"/>
      <protection hidden="1"/>
    </xf>
    <xf numFmtId="0" fontId="17" fillId="13" borderId="15" xfId="0" applyFont="1" applyFill="1" applyBorder="1" applyAlignment="1" applyProtection="1">
      <alignment horizontal="center" wrapText="1" readingOrder="1"/>
      <protection hidden="1"/>
    </xf>
    <xf numFmtId="0" fontId="17" fillId="13" borderId="16" xfId="0" applyFont="1" applyFill="1" applyBorder="1" applyAlignment="1" applyProtection="1">
      <alignment horizontal="center" wrapText="1" readingOrder="1"/>
      <protection hidden="1"/>
    </xf>
    <xf numFmtId="0" fontId="17" fillId="13" borderId="18" xfId="0" applyFont="1" applyFill="1" applyBorder="1" applyAlignment="1" applyProtection="1">
      <alignment horizontal="center" wrapText="1" readingOrder="1"/>
      <protection hidden="1"/>
    </xf>
    <xf numFmtId="0" fontId="17" fillId="13" borderId="17"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19" xfId="0" applyFont="1" applyFill="1" applyBorder="1" applyAlignment="1" applyProtection="1">
      <alignment horizontal="center" wrapText="1" readingOrder="1"/>
      <protection hidden="1"/>
    </xf>
    <xf numFmtId="0" fontId="17" fillId="5" borderId="13" xfId="0" applyFont="1" applyFill="1" applyBorder="1" applyAlignment="1" applyProtection="1">
      <alignment horizontal="center" wrapText="1" readingOrder="1"/>
      <protection hidden="1"/>
    </xf>
    <xf numFmtId="0" fontId="17" fillId="5" borderId="14" xfId="0" applyFont="1" applyFill="1" applyBorder="1" applyAlignment="1" applyProtection="1">
      <alignment horizontal="center" wrapText="1" readingOrder="1"/>
      <protection hidden="1"/>
    </xf>
    <xf numFmtId="0" fontId="17" fillId="5" borderId="0" xfId="0" applyFont="1" applyFill="1" applyBorder="1" applyAlignment="1" applyProtection="1">
      <alignment horizontal="center" wrapText="1" readingOrder="1"/>
      <protection hidden="1"/>
    </xf>
    <xf numFmtId="0" fontId="17" fillId="5" borderId="15" xfId="0" applyFont="1" applyFill="1" applyBorder="1" applyAlignment="1" applyProtection="1">
      <alignment horizontal="center" wrapText="1" readingOrder="1"/>
      <protection hidden="1"/>
    </xf>
    <xf numFmtId="0" fontId="17" fillId="5" borderId="16" xfId="0" applyFont="1" applyFill="1" applyBorder="1" applyAlignment="1" applyProtection="1">
      <alignment horizontal="center" wrapText="1" readingOrder="1"/>
      <protection hidden="1"/>
    </xf>
    <xf numFmtId="0" fontId="17" fillId="5" borderId="18" xfId="0" applyFont="1" applyFill="1" applyBorder="1" applyAlignment="1" applyProtection="1">
      <alignment horizontal="center" wrapText="1" readingOrder="1"/>
      <protection hidden="1"/>
    </xf>
    <xf numFmtId="0" fontId="17" fillId="5" borderId="17"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0" fillId="3" borderId="0" xfId="0" applyFill="1"/>
    <xf numFmtId="0" fontId="46" fillId="3" borderId="40" xfId="2" applyFont="1" applyFill="1" applyBorder="1" applyProtection="1"/>
    <xf numFmtId="0" fontId="46" fillId="3" borderId="41" xfId="2" applyFont="1" applyFill="1" applyBorder="1" applyProtection="1"/>
    <xf numFmtId="0" fontId="46" fillId="3" borderId="42" xfId="2" applyFont="1" applyFill="1" applyBorder="1" applyProtection="1"/>
    <xf numFmtId="0" fontId="14" fillId="3" borderId="0" xfId="0" applyFont="1" applyFill="1" applyAlignment="1">
      <alignment vertical="center"/>
    </xf>
    <xf numFmtId="0" fontId="4" fillId="3" borderId="0" xfId="0" applyFont="1" applyFill="1"/>
    <xf numFmtId="0" fontId="33" fillId="3" borderId="0" xfId="0" applyFont="1" applyFill="1"/>
    <xf numFmtId="0" fontId="35" fillId="3" borderId="28" xfId="0" applyFont="1" applyFill="1" applyBorder="1" applyAlignment="1">
      <alignment horizontal="justify" vertical="center" wrapText="1" readingOrder="1"/>
    </xf>
    <xf numFmtId="9" fontId="34" fillId="3" borderId="32" xfId="0" applyNumberFormat="1" applyFont="1" applyFill="1" applyBorder="1" applyAlignment="1">
      <alignment horizontal="center" vertical="center" wrapText="1" readingOrder="1"/>
    </xf>
    <xf numFmtId="0" fontId="35" fillId="3" borderId="32" xfId="0" applyFont="1" applyFill="1" applyBorder="1" applyAlignment="1">
      <alignment horizontal="center" vertical="center" wrapText="1" readingOrder="1"/>
    </xf>
    <xf numFmtId="0" fontId="35" fillId="3" borderId="34" xfId="0" applyFont="1" applyFill="1" applyBorder="1" applyAlignment="1">
      <alignment horizontal="justify" vertical="center" wrapText="1" readingOrder="1"/>
    </xf>
    <xf numFmtId="0" fontId="35" fillId="3" borderId="35"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Border="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14" xfId="2" applyFont="1" applyFill="1" applyBorder="1" applyProtection="1"/>
    <xf numFmtId="0" fontId="51" fillId="3" borderId="0" xfId="0" applyFont="1" applyFill="1" applyBorder="1" applyAlignment="1" applyProtection="1">
      <alignment horizontal="left" vertical="center" wrapText="1"/>
    </xf>
    <xf numFmtId="0" fontId="52" fillId="3" borderId="0" xfId="0" applyFont="1" applyFill="1" applyBorder="1" applyAlignment="1" applyProtection="1">
      <alignment horizontal="left" vertical="top" wrapText="1"/>
    </xf>
    <xf numFmtId="0" fontId="46" fillId="3" borderId="0" xfId="2" applyFont="1" applyFill="1" applyBorder="1" applyProtection="1"/>
    <xf numFmtId="0" fontId="46" fillId="3" borderId="15" xfId="2" applyFont="1" applyFill="1" applyBorder="1" applyProtection="1"/>
    <xf numFmtId="0" fontId="46" fillId="3" borderId="16" xfId="2" applyFont="1" applyFill="1" applyBorder="1" applyProtection="1"/>
    <xf numFmtId="0" fontId="46" fillId="3" borderId="18" xfId="2" applyFont="1" applyFill="1" applyBorder="1" applyProtection="1"/>
    <xf numFmtId="0" fontId="46" fillId="3" borderId="17" xfId="2" applyFont="1" applyFill="1" applyBorder="1" applyProtection="1"/>
    <xf numFmtId="0" fontId="50" fillId="3" borderId="0" xfId="2" applyFont="1" applyFill="1" applyBorder="1" applyAlignment="1" applyProtection="1">
      <alignment horizontal="left" vertical="center" wrapText="1"/>
    </xf>
    <xf numFmtId="0" fontId="46" fillId="3" borderId="0" xfId="2" applyFont="1" applyFill="1" applyBorder="1" applyAlignment="1" applyProtection="1">
      <alignment horizontal="left" vertical="center" wrapText="1"/>
    </xf>
    <xf numFmtId="0" fontId="46" fillId="3" borderId="0" xfId="2" quotePrefix="1" applyFont="1" applyFill="1" applyBorder="1" applyAlignment="1" applyProtection="1">
      <alignment horizontal="left" vertical="center" wrapText="1"/>
    </xf>
    <xf numFmtId="0" fontId="46" fillId="3" borderId="15" xfId="2" applyFont="1" applyFill="1" applyBorder="1" applyAlignment="1" applyProtection="1"/>
    <xf numFmtId="0" fontId="48" fillId="3" borderId="14" xfId="2" quotePrefix="1" applyFont="1" applyFill="1" applyBorder="1" applyAlignment="1" applyProtection="1">
      <alignment horizontal="left" vertical="top" wrapText="1"/>
    </xf>
    <xf numFmtId="0" fontId="49" fillId="3" borderId="0" xfId="2" quotePrefix="1" applyFont="1" applyFill="1" applyBorder="1" applyAlignment="1" applyProtection="1">
      <alignment horizontal="left" vertical="top" wrapText="1"/>
    </xf>
    <xf numFmtId="0" fontId="49" fillId="3" borderId="15" xfId="2" quotePrefix="1" applyFont="1" applyFill="1" applyBorder="1" applyAlignment="1" applyProtection="1">
      <alignment horizontal="left" vertical="top" wrapText="1"/>
    </xf>
    <xf numFmtId="0" fontId="34" fillId="3" borderId="28" xfId="0" applyFont="1" applyFill="1" applyBorder="1" applyAlignment="1">
      <alignment horizontal="center" vertical="center" wrapText="1" readingOrder="1"/>
    </xf>
    <xf numFmtId="0" fontId="34" fillId="3" borderId="34" xfId="0" applyFont="1" applyFill="1" applyBorder="1" applyAlignment="1">
      <alignment horizontal="center" vertical="center" wrapText="1" readingOrder="1"/>
    </xf>
    <xf numFmtId="0" fontId="4" fillId="3" borderId="28" xfId="0" applyFont="1" applyFill="1" applyBorder="1"/>
    <xf numFmtId="0" fontId="4" fillId="3" borderId="32" xfId="0" applyFont="1" applyFill="1" applyBorder="1"/>
    <xf numFmtId="0" fontId="4" fillId="3" borderId="34" xfId="0" applyFont="1" applyFill="1" applyBorder="1"/>
    <xf numFmtId="0" fontId="4" fillId="3" borderId="35" xfId="0" applyFont="1" applyFill="1" applyBorder="1"/>
    <xf numFmtId="0" fontId="55" fillId="3" borderId="28" xfId="0" applyFont="1" applyFill="1" applyBorder="1" applyAlignment="1">
      <alignment horizontal="center" vertical="center" wrapText="1"/>
    </xf>
    <xf numFmtId="0" fontId="55" fillId="3" borderId="34" xfId="0" applyFont="1" applyFill="1" applyBorder="1" applyAlignment="1">
      <alignment horizontal="center" vertical="center" wrapText="1"/>
    </xf>
    <xf numFmtId="0" fontId="55" fillId="3" borderId="0" xfId="0" applyFont="1" applyFill="1" applyBorder="1" applyAlignment="1">
      <alignment horizontal="center" vertical="center" wrapText="1"/>
    </xf>
    <xf numFmtId="0" fontId="4" fillId="3" borderId="0" xfId="0" applyFont="1" applyFill="1" applyBorder="1"/>
    <xf numFmtId="0" fontId="0" fillId="0" borderId="28" xfId="0" applyBorder="1"/>
    <xf numFmtId="0" fontId="0" fillId="0" borderId="65" xfId="0" applyBorder="1"/>
    <xf numFmtId="0" fontId="4" fillId="3" borderId="66" xfId="0" applyFont="1" applyFill="1" applyBorder="1"/>
    <xf numFmtId="0" fontId="32" fillId="3" borderId="32" xfId="0" applyFont="1" applyFill="1" applyBorder="1" applyAlignment="1">
      <alignment horizontal="justify" vertical="center" wrapText="1"/>
    </xf>
    <xf numFmtId="0" fontId="0" fillId="0" borderId="34" xfId="0" applyBorder="1"/>
    <xf numFmtId="0" fontId="55" fillId="3" borderId="65" xfId="0" applyFont="1" applyFill="1" applyBorder="1" applyAlignment="1">
      <alignment horizontal="center" vertical="center" wrapText="1"/>
    </xf>
    <xf numFmtId="0" fontId="4" fillId="3" borderId="65" xfId="0" applyFont="1" applyFill="1" applyBorder="1"/>
    <xf numFmtId="0" fontId="56" fillId="3" borderId="65" xfId="0" applyFont="1" applyFill="1" applyBorder="1"/>
    <xf numFmtId="0" fontId="0" fillId="16" borderId="28" xfId="0" applyFill="1" applyBorder="1"/>
    <xf numFmtId="0" fontId="34" fillId="15" borderId="67" xfId="0" applyFont="1" applyFill="1" applyBorder="1" applyAlignment="1">
      <alignment horizontal="center" vertical="center" wrapText="1" readingOrder="1"/>
    </xf>
    <xf numFmtId="0" fontId="34" fillId="15" borderId="69"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9" fontId="34" fillId="3" borderId="66" xfId="0" applyNumberFormat="1" applyFont="1" applyFill="1" applyBorder="1" applyAlignment="1">
      <alignment horizontal="center" vertical="center" wrapText="1" readingOrder="1"/>
    </xf>
    <xf numFmtId="9" fontId="34" fillId="3" borderId="35" xfId="0" applyNumberFormat="1" applyFont="1" applyFill="1" applyBorder="1" applyAlignment="1">
      <alignment horizontal="center" vertical="center" wrapText="1" readingOrder="1"/>
    </xf>
    <xf numFmtId="0" fontId="35" fillId="3" borderId="66" xfId="0" applyFont="1" applyFill="1" applyBorder="1" applyAlignment="1">
      <alignment horizontal="center" vertical="center" wrapText="1" readingOrder="1"/>
    </xf>
    <xf numFmtId="0" fontId="0" fillId="0" borderId="34" xfId="0" applyFill="1" applyBorder="1"/>
    <xf numFmtId="0" fontId="0" fillId="0" borderId="71" xfId="0" applyBorder="1"/>
    <xf numFmtId="0" fontId="0" fillId="0" borderId="71" xfId="0" applyFill="1" applyBorder="1"/>
    <xf numFmtId="0" fontId="4" fillId="3" borderId="72" xfId="0" applyFont="1" applyFill="1" applyBorder="1"/>
    <xf numFmtId="0" fontId="0" fillId="0" borderId="28" xfId="0" applyFill="1" applyBorder="1"/>
    <xf numFmtId="0" fontId="0" fillId="0" borderId="28" xfId="0" applyBorder="1" applyAlignment="1">
      <alignment wrapText="1"/>
    </xf>
    <xf numFmtId="0" fontId="0" fillId="0" borderId="65" xfId="0" applyFill="1" applyBorder="1"/>
    <xf numFmtId="0" fontId="43" fillId="3" borderId="0" xfId="0" applyFont="1" applyFill="1" applyBorder="1" applyAlignment="1">
      <alignment horizontal="center" vertical="center"/>
    </xf>
    <xf numFmtId="0" fontId="0" fillId="0" borderId="0" xfId="0" applyFill="1" applyBorder="1"/>
    <xf numFmtId="0" fontId="0" fillId="0" borderId="0" xfId="0" applyBorder="1"/>
    <xf numFmtId="0" fontId="0" fillId="0" borderId="66" xfId="0" applyFill="1" applyBorder="1"/>
    <xf numFmtId="0" fontId="0" fillId="0" borderId="35" xfId="0" applyFill="1" applyBorder="1"/>
    <xf numFmtId="0" fontId="0" fillId="0" borderId="75" xfId="0" applyFill="1" applyBorder="1"/>
    <xf numFmtId="0" fontId="0" fillId="0" borderId="75" xfId="0" applyBorder="1"/>
    <xf numFmtId="0" fontId="0" fillId="0" borderId="76" xfId="0" applyFill="1" applyBorder="1"/>
    <xf numFmtId="0" fontId="52" fillId="3" borderId="53" xfId="2" applyFont="1" applyFill="1" applyBorder="1" applyAlignment="1" applyProtection="1">
      <alignment horizontal="justify" vertical="center" wrapText="1"/>
    </xf>
    <xf numFmtId="0" fontId="52" fillId="3" borderId="54" xfId="2" applyFont="1" applyFill="1" applyBorder="1" applyAlignment="1" applyProtection="1">
      <alignment horizontal="justify" vertical="center" wrapText="1"/>
    </xf>
    <xf numFmtId="0" fontId="51" fillId="3" borderId="60" xfId="0" applyFont="1" applyFill="1" applyBorder="1" applyAlignment="1" applyProtection="1">
      <alignment horizontal="left" vertical="center" wrapText="1"/>
    </xf>
    <xf numFmtId="0" fontId="51" fillId="3" borderId="61" xfId="0" applyFont="1" applyFill="1" applyBorder="1" applyAlignment="1" applyProtection="1">
      <alignment horizontal="left" vertical="center" wrapText="1"/>
    </xf>
    <xf numFmtId="0" fontId="51" fillId="3" borderId="47" xfId="3" applyFont="1" applyFill="1" applyBorder="1" applyAlignment="1" applyProtection="1">
      <alignment horizontal="left" vertical="top" wrapText="1" readingOrder="1"/>
    </xf>
    <xf numFmtId="0" fontId="51" fillId="3" borderId="48" xfId="3" applyFont="1" applyFill="1" applyBorder="1" applyAlignment="1" applyProtection="1">
      <alignment horizontal="left" vertical="top" wrapText="1" readingOrder="1"/>
    </xf>
    <xf numFmtId="0" fontId="52" fillId="3" borderId="49" xfId="2" applyFont="1" applyFill="1" applyBorder="1" applyAlignment="1" applyProtection="1">
      <alignment horizontal="justify" vertical="center" wrapText="1"/>
    </xf>
    <xf numFmtId="0" fontId="52" fillId="3" borderId="50" xfId="2" applyFont="1" applyFill="1" applyBorder="1" applyAlignment="1" applyProtection="1">
      <alignment horizontal="justify" vertical="center" wrapText="1"/>
    </xf>
    <xf numFmtId="0" fontId="51" fillId="3" borderId="51" xfId="0" applyFont="1" applyFill="1" applyBorder="1" applyAlignment="1" applyProtection="1">
      <alignment horizontal="left" vertical="center" wrapText="1"/>
    </xf>
    <xf numFmtId="0" fontId="51" fillId="3" borderId="52" xfId="0" applyFont="1" applyFill="1" applyBorder="1" applyAlignment="1" applyProtection="1">
      <alignment horizontal="left" vertical="center" wrapText="1"/>
    </xf>
    <xf numFmtId="0" fontId="46" fillId="3" borderId="14" xfId="2" applyFont="1" applyFill="1" applyBorder="1" applyAlignment="1" applyProtection="1">
      <alignment horizontal="left" vertical="top" wrapText="1"/>
    </xf>
    <xf numFmtId="0" fontId="46" fillId="3" borderId="0" xfId="2" applyFont="1" applyFill="1" applyBorder="1" applyAlignment="1" applyProtection="1">
      <alignment horizontal="left" vertical="top" wrapText="1"/>
    </xf>
    <xf numFmtId="0" fontId="46" fillId="3" borderId="15" xfId="2" applyFont="1" applyFill="1" applyBorder="1" applyAlignment="1" applyProtection="1">
      <alignment horizontal="left" vertical="top" wrapText="1"/>
    </xf>
    <xf numFmtId="0" fontId="51" fillId="3" borderId="62" xfId="0" applyFont="1" applyFill="1" applyBorder="1" applyAlignment="1" applyProtection="1">
      <alignment horizontal="left" vertical="center" wrapText="1"/>
    </xf>
    <xf numFmtId="0" fontId="51" fillId="3" borderId="63" xfId="0" applyFont="1" applyFill="1" applyBorder="1" applyAlignment="1" applyProtection="1">
      <alignment horizontal="left" vertical="center" wrapText="1"/>
    </xf>
    <xf numFmtId="0" fontId="52" fillId="3" borderId="55" xfId="0" applyFont="1" applyFill="1" applyBorder="1" applyAlignment="1" applyProtection="1">
      <alignment horizontal="justify" vertical="center" wrapText="1"/>
    </xf>
    <xf numFmtId="0" fontId="52" fillId="3" borderId="56" xfId="0" applyFont="1" applyFill="1" applyBorder="1" applyAlignment="1" applyProtection="1">
      <alignment horizontal="justify" vertical="center" wrapText="1"/>
    </xf>
    <xf numFmtId="0" fontId="47" fillId="14" borderId="37" xfId="2" applyFont="1" applyFill="1" applyBorder="1" applyAlignment="1" applyProtection="1">
      <alignment horizontal="center" vertical="center" wrapText="1"/>
    </xf>
    <xf numFmtId="0" fontId="47" fillId="14" borderId="38" xfId="2" applyFont="1" applyFill="1" applyBorder="1" applyAlignment="1" applyProtection="1">
      <alignment horizontal="center" vertical="center" wrapText="1"/>
    </xf>
    <xf numFmtId="0" fontId="47" fillId="14" borderId="39" xfId="2" applyFont="1" applyFill="1" applyBorder="1" applyAlignment="1" applyProtection="1">
      <alignment horizontal="center" vertical="center" wrapText="1"/>
    </xf>
    <xf numFmtId="0" fontId="46" fillId="0" borderId="14" xfId="2" quotePrefix="1" applyFont="1" applyBorder="1" applyAlignment="1" applyProtection="1">
      <alignment horizontal="left" vertical="center" wrapText="1"/>
    </xf>
    <xf numFmtId="0" fontId="46" fillId="0" borderId="0" xfId="2" quotePrefix="1" applyFont="1" applyBorder="1" applyAlignment="1" applyProtection="1">
      <alignment horizontal="left" vertical="center" wrapText="1"/>
    </xf>
    <xf numFmtId="0" fontId="46" fillId="0" borderId="15" xfId="2" quotePrefix="1" applyFont="1" applyBorder="1" applyAlignment="1" applyProtection="1">
      <alignment horizontal="left" vertical="center" wrapText="1"/>
    </xf>
    <xf numFmtId="0" fontId="46" fillId="0" borderId="57" xfId="2" quotePrefix="1" applyFont="1" applyBorder="1" applyAlignment="1" applyProtection="1">
      <alignment horizontal="left" vertical="center" wrapText="1"/>
    </xf>
    <xf numFmtId="0" fontId="46" fillId="0" borderId="58" xfId="2" quotePrefix="1" applyFont="1" applyBorder="1" applyAlignment="1" applyProtection="1">
      <alignment horizontal="left" vertical="center" wrapText="1"/>
    </xf>
    <xf numFmtId="0" fontId="46" fillId="0" borderId="59" xfId="2" quotePrefix="1" applyFont="1" applyBorder="1" applyAlignment="1" applyProtection="1">
      <alignment horizontal="left" vertical="center" wrapText="1"/>
    </xf>
    <xf numFmtId="0" fontId="48" fillId="3" borderId="40" xfId="2" quotePrefix="1" applyFont="1" applyFill="1" applyBorder="1" applyAlignment="1" applyProtection="1">
      <alignment horizontal="left" vertical="top" wrapText="1"/>
    </xf>
    <xf numFmtId="0" fontId="49" fillId="3" borderId="41" xfId="2" quotePrefix="1" applyFont="1" applyFill="1" applyBorder="1" applyAlignment="1" applyProtection="1">
      <alignment horizontal="left" vertical="top" wrapText="1"/>
    </xf>
    <xf numFmtId="0" fontId="49" fillId="3" borderId="42" xfId="2" quotePrefix="1" applyFont="1" applyFill="1" applyBorder="1" applyAlignment="1" applyProtection="1">
      <alignment horizontal="left" vertical="top" wrapText="1"/>
    </xf>
    <xf numFmtId="0" fontId="46" fillId="0" borderId="14" xfId="2" quotePrefix="1" applyFont="1" applyBorder="1" applyAlignment="1" applyProtection="1">
      <alignment horizontal="left" vertical="top" wrapText="1"/>
    </xf>
    <xf numFmtId="0" fontId="46" fillId="0" borderId="0" xfId="2" quotePrefix="1" applyFont="1" applyBorder="1" applyAlignment="1" applyProtection="1">
      <alignment horizontal="left" vertical="top" wrapText="1"/>
    </xf>
    <xf numFmtId="0" fontId="46" fillId="0" borderId="15" xfId="2" quotePrefix="1" applyFont="1" applyBorder="1" applyAlignment="1" applyProtection="1">
      <alignment horizontal="left" vertical="top" wrapText="1"/>
    </xf>
    <xf numFmtId="0" fontId="51" fillId="14" borderId="43" xfId="3" applyFont="1" applyFill="1" applyBorder="1" applyAlignment="1" applyProtection="1">
      <alignment horizontal="center" vertical="center" wrapText="1"/>
    </xf>
    <xf numFmtId="0" fontId="51" fillId="14" borderId="44" xfId="3" applyFont="1" applyFill="1" applyBorder="1" applyAlignment="1" applyProtection="1">
      <alignment horizontal="center" vertical="center" wrapText="1"/>
    </xf>
    <xf numFmtId="0" fontId="51" fillId="14" borderId="45" xfId="2" applyFont="1" applyFill="1" applyBorder="1" applyAlignment="1" applyProtection="1">
      <alignment horizontal="center" vertical="center"/>
    </xf>
    <xf numFmtId="0" fontId="51" fillId="14" borderId="46" xfId="2" applyFont="1" applyFill="1" applyBorder="1" applyAlignment="1" applyProtection="1">
      <alignment horizontal="center" vertical="center"/>
    </xf>
    <xf numFmtId="0" fontId="1" fillId="3" borderId="57" xfId="2" quotePrefix="1" applyFont="1" applyFill="1" applyBorder="1" applyAlignment="1" applyProtection="1">
      <alignment horizontal="justify" vertical="center" wrapText="1"/>
    </xf>
    <xf numFmtId="0" fontId="1" fillId="3" borderId="58" xfId="2" quotePrefix="1" applyFont="1" applyFill="1" applyBorder="1" applyAlignment="1" applyProtection="1">
      <alignment horizontal="justify" vertical="center" wrapText="1"/>
    </xf>
    <xf numFmtId="0" fontId="1" fillId="3" borderId="59" xfId="2" quotePrefix="1" applyFont="1" applyFill="1" applyBorder="1" applyAlignment="1" applyProtection="1">
      <alignment horizontal="justify" vertical="center" wrapText="1"/>
    </xf>
    <xf numFmtId="0" fontId="16" fillId="10" borderId="0" xfId="0" applyFont="1" applyFill="1" applyAlignment="1">
      <alignment horizontal="center" vertical="center" textRotation="90" wrapText="1" readingOrder="1"/>
    </xf>
    <xf numFmtId="0" fontId="16" fillId="10" borderId="15" xfId="0" applyFont="1" applyFill="1" applyBorder="1" applyAlignment="1">
      <alignment horizontal="center" vertical="center" textRotation="90" wrapText="1" readingOrder="1"/>
    </xf>
    <xf numFmtId="0" fontId="19" fillId="12" borderId="20" xfId="0" applyFont="1" applyFill="1" applyBorder="1" applyAlignment="1">
      <alignment horizontal="center" vertical="center" wrapText="1" readingOrder="1"/>
    </xf>
    <xf numFmtId="0" fontId="19" fillId="12" borderId="21" xfId="0" applyFont="1" applyFill="1" applyBorder="1" applyAlignment="1">
      <alignment horizontal="center" vertical="center" wrapText="1" readingOrder="1"/>
    </xf>
    <xf numFmtId="0" fontId="19" fillId="12" borderId="22" xfId="0" applyFont="1" applyFill="1" applyBorder="1" applyAlignment="1">
      <alignment horizontal="center" vertical="center" wrapText="1" readingOrder="1"/>
    </xf>
    <xf numFmtId="0" fontId="19" fillId="12" borderId="23" xfId="0" applyFont="1" applyFill="1" applyBorder="1" applyAlignment="1">
      <alignment horizontal="center" vertical="center" wrapText="1" readingOrder="1"/>
    </xf>
    <xf numFmtId="0" fontId="19" fillId="12" borderId="0" xfId="0" applyFont="1" applyFill="1" applyBorder="1" applyAlignment="1">
      <alignment horizontal="center" vertical="center" wrapText="1" readingOrder="1"/>
    </xf>
    <xf numFmtId="0" fontId="19" fillId="12" borderId="24" xfId="0" applyFont="1" applyFill="1" applyBorder="1" applyAlignment="1">
      <alignment horizontal="center" vertical="center" wrapText="1" readingOrder="1"/>
    </xf>
    <xf numFmtId="0" fontId="19" fillId="12" borderId="25" xfId="0" applyFont="1" applyFill="1" applyBorder="1" applyAlignment="1">
      <alignment horizontal="center" vertical="center" wrapText="1" readingOrder="1"/>
    </xf>
    <xf numFmtId="0" fontId="19" fillId="12" borderId="26" xfId="0" applyFont="1" applyFill="1" applyBorder="1" applyAlignment="1">
      <alignment horizontal="center" vertical="center" wrapText="1" readingOrder="1"/>
    </xf>
    <xf numFmtId="0" fontId="19" fillId="12" borderId="27"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1" borderId="21" xfId="0" applyFont="1" applyFill="1" applyBorder="1" applyAlignment="1">
      <alignment horizontal="center" vertical="center" wrapText="1" readingOrder="1"/>
    </xf>
    <xf numFmtId="0" fontId="19" fillId="11" borderId="22" xfId="0" applyFont="1" applyFill="1" applyBorder="1" applyAlignment="1">
      <alignment horizontal="center" vertical="center" wrapText="1" readingOrder="1"/>
    </xf>
    <xf numFmtId="0" fontId="19" fillId="11" borderId="23" xfId="0" applyFont="1" applyFill="1" applyBorder="1" applyAlignment="1">
      <alignment horizontal="center" vertical="center" wrapText="1" readingOrder="1"/>
    </xf>
    <xf numFmtId="0" fontId="19" fillId="11" borderId="0" xfId="0" applyFont="1" applyFill="1" applyBorder="1" applyAlignment="1">
      <alignment horizontal="center" vertical="center" wrapText="1" readingOrder="1"/>
    </xf>
    <xf numFmtId="0" fontId="19" fillId="11" borderId="24" xfId="0" applyFont="1" applyFill="1" applyBorder="1" applyAlignment="1">
      <alignment horizontal="center" vertical="center" wrapText="1" readingOrder="1"/>
    </xf>
    <xf numFmtId="0" fontId="19" fillId="11" borderId="25" xfId="0" applyFont="1" applyFill="1" applyBorder="1" applyAlignment="1">
      <alignment horizontal="center" vertical="center" wrapText="1" readingOrder="1"/>
    </xf>
    <xf numFmtId="0" fontId="19" fillId="11" borderId="26" xfId="0" applyFont="1" applyFill="1" applyBorder="1" applyAlignment="1">
      <alignment horizontal="center" vertical="center" wrapText="1" readingOrder="1"/>
    </xf>
    <xf numFmtId="0" fontId="19" fillId="11" borderId="27"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13" borderId="21" xfId="0" applyFont="1" applyFill="1" applyBorder="1" applyAlignment="1">
      <alignment horizontal="center" vertical="center" wrapText="1" readingOrder="1"/>
    </xf>
    <xf numFmtId="0" fontId="19" fillId="13" borderId="22" xfId="0" applyFont="1" applyFill="1" applyBorder="1" applyAlignment="1">
      <alignment horizontal="center" vertical="center" wrapText="1" readingOrder="1"/>
    </xf>
    <xf numFmtId="0" fontId="19" fillId="13" borderId="23" xfId="0" applyFont="1" applyFill="1" applyBorder="1" applyAlignment="1">
      <alignment horizontal="center" vertical="center" wrapText="1" readingOrder="1"/>
    </xf>
    <xf numFmtId="0" fontId="19" fillId="13" borderId="0" xfId="0" applyFont="1" applyFill="1" applyBorder="1" applyAlignment="1">
      <alignment horizontal="center" vertical="center" wrapText="1" readingOrder="1"/>
    </xf>
    <xf numFmtId="0" fontId="19" fillId="13" borderId="24" xfId="0" applyFont="1" applyFill="1" applyBorder="1" applyAlignment="1">
      <alignment horizontal="center" vertical="center" wrapText="1" readingOrder="1"/>
    </xf>
    <xf numFmtId="0" fontId="19" fillId="13" borderId="25" xfId="0" applyFont="1" applyFill="1" applyBorder="1" applyAlignment="1">
      <alignment horizontal="center" vertical="center" wrapText="1" readingOrder="1"/>
    </xf>
    <xf numFmtId="0" fontId="19" fillId="13" borderId="26" xfId="0" applyFont="1" applyFill="1" applyBorder="1" applyAlignment="1">
      <alignment horizontal="center" vertical="center" wrapText="1" readingOrder="1"/>
    </xf>
    <xf numFmtId="0" fontId="19" fillId="13" borderId="27"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9" fillId="5" borderId="21" xfId="0" applyFont="1" applyFill="1" applyBorder="1" applyAlignment="1">
      <alignment horizontal="center" vertical="center" wrapText="1" readingOrder="1"/>
    </xf>
    <xf numFmtId="0" fontId="19" fillId="5" borderId="22" xfId="0" applyFont="1" applyFill="1" applyBorder="1" applyAlignment="1">
      <alignment horizontal="center" vertical="center" wrapText="1" readingOrder="1"/>
    </xf>
    <xf numFmtId="0" fontId="19" fillId="5" borderId="23" xfId="0" applyFont="1" applyFill="1" applyBorder="1" applyAlignment="1">
      <alignment horizontal="center" vertical="center" wrapText="1" readingOrder="1"/>
    </xf>
    <xf numFmtId="0" fontId="19" fillId="5" borderId="0" xfId="0" applyFont="1" applyFill="1" applyBorder="1" applyAlignment="1">
      <alignment horizontal="center" vertical="center" wrapText="1" readingOrder="1"/>
    </xf>
    <xf numFmtId="0" fontId="19" fillId="5" borderId="24" xfId="0" applyFont="1" applyFill="1" applyBorder="1" applyAlignment="1">
      <alignment horizontal="center" vertical="center" wrapText="1" readingOrder="1"/>
    </xf>
    <xf numFmtId="0" fontId="19" fillId="5" borderId="25" xfId="0" applyFont="1" applyFill="1" applyBorder="1" applyAlignment="1">
      <alignment horizontal="center" vertical="center" wrapText="1" readingOrder="1"/>
    </xf>
    <xf numFmtId="0" fontId="19" fillId="5" borderId="26" xfId="0" applyFont="1" applyFill="1" applyBorder="1" applyAlignment="1">
      <alignment horizontal="center" vertical="center" wrapText="1" readingOrder="1"/>
    </xf>
    <xf numFmtId="0" fontId="19" fillId="5" borderId="27" xfId="0" applyFont="1" applyFill="1" applyBorder="1" applyAlignment="1">
      <alignment horizontal="center" vertical="center" wrapText="1" readingOrder="1"/>
    </xf>
    <xf numFmtId="0" fontId="15" fillId="0" borderId="12" xfId="0" applyFont="1" applyBorder="1" applyAlignment="1">
      <alignment horizontal="center" vertical="center" wrapText="1"/>
    </xf>
    <xf numFmtId="0" fontId="15" fillId="0" borderId="1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15" fillId="0" borderId="17" xfId="0" applyFont="1" applyBorder="1" applyAlignment="1">
      <alignment horizontal="center" vertical="center"/>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6" fillId="10" borderId="0" xfId="0" applyFont="1" applyFill="1" applyAlignment="1">
      <alignment horizontal="center" vertical="center" wrapText="1" readingOrder="1"/>
    </xf>
    <xf numFmtId="0" fontId="15" fillId="0" borderId="0" xfId="0" applyFont="1" applyBorder="1" applyAlignment="1">
      <alignment horizontal="center" vertical="center"/>
    </xf>
    <xf numFmtId="0" fontId="15" fillId="0" borderId="19" xfId="0" applyFont="1" applyBorder="1" applyAlignment="1">
      <alignment horizontal="center" vertical="center" wrapText="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23" fillId="0" borderId="0" xfId="0" applyFont="1" applyAlignment="1">
      <alignment horizontal="center" vertical="center" wrapText="1"/>
    </xf>
    <xf numFmtId="0" fontId="39" fillId="11" borderId="20" xfId="0" applyFont="1" applyFill="1" applyBorder="1" applyAlignment="1">
      <alignment horizontal="center" vertical="center" wrapText="1" readingOrder="1"/>
    </xf>
    <xf numFmtId="0" fontId="39" fillId="11" borderId="21" xfId="0" applyFont="1" applyFill="1" applyBorder="1" applyAlignment="1">
      <alignment horizontal="center" vertical="center" wrapText="1" readingOrder="1"/>
    </xf>
    <xf numFmtId="0" fontId="39" fillId="11" borderId="22" xfId="0" applyFont="1" applyFill="1" applyBorder="1" applyAlignment="1">
      <alignment horizontal="center" vertical="center" wrapText="1" readingOrder="1"/>
    </xf>
    <xf numFmtId="0" fontId="39" fillId="11" borderId="23" xfId="0" applyFont="1" applyFill="1" applyBorder="1" applyAlignment="1">
      <alignment horizontal="center" vertical="center" wrapText="1" readingOrder="1"/>
    </xf>
    <xf numFmtId="0" fontId="39" fillId="11" borderId="0" xfId="0" applyFont="1" applyFill="1" applyBorder="1" applyAlignment="1">
      <alignment horizontal="center" vertical="center" wrapText="1" readingOrder="1"/>
    </xf>
    <xf numFmtId="0" fontId="39" fillId="11" borderId="24" xfId="0" applyFont="1" applyFill="1" applyBorder="1" applyAlignment="1">
      <alignment horizontal="center" vertical="center" wrapText="1" readingOrder="1"/>
    </xf>
    <xf numFmtId="0" fontId="39" fillId="11" borderId="25" xfId="0" applyFont="1" applyFill="1" applyBorder="1" applyAlignment="1">
      <alignment horizontal="center" vertical="center" wrapText="1" readingOrder="1"/>
    </xf>
    <xf numFmtId="0" fontId="39" fillId="11" borderId="26" xfId="0" applyFont="1" applyFill="1" applyBorder="1" applyAlignment="1">
      <alignment horizontal="center" vertical="center" wrapText="1" readingOrder="1"/>
    </xf>
    <xf numFmtId="0" fontId="39" fillId="11" borderId="27" xfId="0" applyFont="1" applyFill="1" applyBorder="1" applyAlignment="1">
      <alignment horizontal="center" vertical="center" wrapText="1" readingOrder="1"/>
    </xf>
    <xf numFmtId="0" fontId="40" fillId="0" borderId="12" xfId="0" applyFont="1" applyBorder="1" applyAlignment="1">
      <alignment horizontal="center" vertical="center" wrapText="1"/>
    </xf>
    <xf numFmtId="0" fontId="40" fillId="0" borderId="19" xfId="0" applyFont="1" applyBorder="1" applyAlignment="1">
      <alignment horizontal="center" vertical="center"/>
    </xf>
    <xf numFmtId="0" fontId="40" fillId="0" borderId="14" xfId="0" applyFont="1" applyBorder="1" applyAlignment="1">
      <alignment horizontal="center" vertical="center" wrapText="1"/>
    </xf>
    <xf numFmtId="0" fontId="40" fillId="0" borderId="0" xfId="0" applyFont="1" applyBorder="1" applyAlignment="1">
      <alignment horizontal="center" vertical="center"/>
    </xf>
    <xf numFmtId="0" fontId="40" fillId="0" borderId="14" xfId="0" applyFont="1" applyBorder="1" applyAlignment="1">
      <alignment horizontal="center" vertical="center"/>
    </xf>
    <xf numFmtId="0" fontId="40" fillId="0" borderId="0" xfId="0" applyFont="1" applyAlignment="1">
      <alignment horizontal="center" vertical="center"/>
    </xf>
    <xf numFmtId="0" fontId="40" fillId="0" borderId="16" xfId="0" applyFont="1" applyBorder="1" applyAlignment="1">
      <alignment horizontal="center" vertical="center"/>
    </xf>
    <xf numFmtId="0" fontId="40" fillId="0" borderId="18" xfId="0" applyFont="1" applyBorder="1" applyAlignment="1">
      <alignment horizontal="center" vertical="center"/>
    </xf>
    <xf numFmtId="0" fontId="39" fillId="12" borderId="20" xfId="0" applyFont="1" applyFill="1" applyBorder="1" applyAlignment="1">
      <alignment horizontal="center" vertical="center" wrapText="1" readingOrder="1"/>
    </xf>
    <xf numFmtId="0" fontId="39" fillId="12" borderId="21" xfId="0" applyFont="1" applyFill="1" applyBorder="1" applyAlignment="1">
      <alignment horizontal="center" vertical="center" wrapText="1" readingOrder="1"/>
    </xf>
    <xf numFmtId="0" fontId="39" fillId="12" borderId="22" xfId="0" applyFont="1" applyFill="1" applyBorder="1" applyAlignment="1">
      <alignment horizontal="center" vertical="center" wrapText="1" readingOrder="1"/>
    </xf>
    <xf numFmtId="0" fontId="39" fillId="12" borderId="23" xfId="0" applyFont="1" applyFill="1" applyBorder="1" applyAlignment="1">
      <alignment horizontal="center" vertical="center" wrapText="1" readingOrder="1"/>
    </xf>
    <xf numFmtId="0" fontId="39" fillId="12" borderId="0" xfId="0" applyFont="1" applyFill="1" applyBorder="1" applyAlignment="1">
      <alignment horizontal="center" vertical="center" wrapText="1" readingOrder="1"/>
    </xf>
    <xf numFmtId="0" fontId="39" fillId="12" borderId="24" xfId="0" applyFont="1" applyFill="1" applyBorder="1" applyAlignment="1">
      <alignment horizontal="center" vertical="center" wrapText="1" readingOrder="1"/>
    </xf>
    <xf numFmtId="0" fontId="39" fillId="12" borderId="25" xfId="0" applyFont="1" applyFill="1" applyBorder="1" applyAlignment="1">
      <alignment horizontal="center" vertical="center" wrapText="1" readingOrder="1"/>
    </xf>
    <xf numFmtId="0" fontId="39" fillId="12" borderId="26" xfId="0" applyFont="1" applyFill="1" applyBorder="1" applyAlignment="1">
      <alignment horizontal="center" vertical="center" wrapText="1" readingOrder="1"/>
    </xf>
    <xf numFmtId="0" fontId="39" fillId="12" borderId="27"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40" fillId="0" borderId="13" xfId="0" applyFont="1" applyBorder="1" applyAlignment="1">
      <alignment horizontal="center" vertical="center"/>
    </xf>
    <xf numFmtId="0" fontId="40" fillId="0" borderId="15" xfId="0" applyFont="1" applyBorder="1" applyAlignment="1">
      <alignment horizontal="center" vertical="center"/>
    </xf>
    <xf numFmtId="0" fontId="40" fillId="0" borderId="17" xfId="0" applyFont="1" applyBorder="1" applyAlignment="1">
      <alignment horizontal="center" vertical="center"/>
    </xf>
    <xf numFmtId="0" fontId="39" fillId="5" borderId="20" xfId="0" applyFont="1" applyFill="1" applyBorder="1" applyAlignment="1">
      <alignment horizontal="center" vertical="center" wrapText="1" readingOrder="1"/>
    </xf>
    <xf numFmtId="0" fontId="39" fillId="5" borderId="21" xfId="0" applyFont="1" applyFill="1" applyBorder="1" applyAlignment="1">
      <alignment horizontal="center" vertical="center" wrapText="1" readingOrder="1"/>
    </xf>
    <xf numFmtId="0" fontId="39" fillId="5" borderId="22" xfId="0" applyFont="1" applyFill="1" applyBorder="1" applyAlignment="1">
      <alignment horizontal="center" vertical="center" wrapText="1" readingOrder="1"/>
    </xf>
    <xf numFmtId="0" fontId="39" fillId="5" borderId="23" xfId="0" applyFont="1" applyFill="1" applyBorder="1" applyAlignment="1">
      <alignment horizontal="center" vertical="center" wrapText="1" readingOrder="1"/>
    </xf>
    <xf numFmtId="0" fontId="39" fillId="5" borderId="0" xfId="0" applyFont="1" applyFill="1" applyBorder="1" applyAlignment="1">
      <alignment horizontal="center" vertical="center" wrapText="1" readingOrder="1"/>
    </xf>
    <xf numFmtId="0" fontId="39" fillId="5" borderId="24" xfId="0" applyFont="1" applyFill="1" applyBorder="1" applyAlignment="1">
      <alignment horizontal="center" vertical="center" wrapText="1" readingOrder="1"/>
    </xf>
    <xf numFmtId="0" fontId="39" fillId="5" borderId="25" xfId="0" applyFont="1" applyFill="1" applyBorder="1" applyAlignment="1">
      <alignment horizontal="center" vertical="center" wrapText="1" readingOrder="1"/>
    </xf>
    <xf numFmtId="0" fontId="39" fillId="5" borderId="26" xfId="0" applyFont="1" applyFill="1" applyBorder="1" applyAlignment="1">
      <alignment horizontal="center" vertical="center" wrapText="1" readingOrder="1"/>
    </xf>
    <xf numFmtId="0" fontId="39" fillId="5" borderId="27"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39" fillId="13" borderId="21" xfId="0" applyFont="1" applyFill="1" applyBorder="1" applyAlignment="1">
      <alignment horizontal="center" vertical="center" wrapText="1" readingOrder="1"/>
    </xf>
    <xf numFmtId="0" fontId="39" fillId="13" borderId="22" xfId="0" applyFont="1" applyFill="1" applyBorder="1" applyAlignment="1">
      <alignment horizontal="center" vertical="center" wrapText="1" readingOrder="1"/>
    </xf>
    <xf numFmtId="0" fontId="39" fillId="13" borderId="23" xfId="0" applyFont="1" applyFill="1" applyBorder="1" applyAlignment="1">
      <alignment horizontal="center" vertical="center" wrapText="1" readingOrder="1"/>
    </xf>
    <xf numFmtId="0" fontId="39" fillId="13" borderId="0" xfId="0" applyFont="1" applyFill="1" applyBorder="1" applyAlignment="1">
      <alignment horizontal="center" vertical="center" wrapText="1" readingOrder="1"/>
    </xf>
    <xf numFmtId="0" fontId="39" fillId="13" borderId="24" xfId="0" applyFont="1" applyFill="1" applyBorder="1" applyAlignment="1">
      <alignment horizontal="center" vertical="center" wrapText="1" readingOrder="1"/>
    </xf>
    <xf numFmtId="0" fontId="39" fillId="13" borderId="25" xfId="0" applyFont="1" applyFill="1" applyBorder="1" applyAlignment="1">
      <alignment horizontal="center" vertical="center" wrapText="1" readingOrder="1"/>
    </xf>
    <xf numFmtId="0" fontId="39" fillId="13" borderId="26" xfId="0" applyFont="1" applyFill="1" applyBorder="1" applyAlignment="1">
      <alignment horizontal="center" vertical="center" wrapText="1" readingOrder="1"/>
    </xf>
    <xf numFmtId="0" fontId="39" fillId="13" borderId="27" xfId="0" applyFont="1" applyFill="1" applyBorder="1" applyAlignment="1">
      <alignment horizontal="center" vertical="center" wrapText="1" readingOrder="1"/>
    </xf>
    <xf numFmtId="0" fontId="40" fillId="0" borderId="19" xfId="0" applyFont="1" applyBorder="1" applyAlignment="1">
      <alignment horizontal="center" vertical="center" wrapText="1"/>
    </xf>
    <xf numFmtId="0" fontId="22" fillId="0" borderId="0" xfId="0" applyFont="1" applyAlignment="1">
      <alignment horizontal="center" vertical="center"/>
    </xf>
    <xf numFmtId="0" fontId="42" fillId="0" borderId="0" xfId="0" applyFont="1" applyAlignment="1">
      <alignment horizontal="center" vertical="center"/>
    </xf>
    <xf numFmtId="0" fontId="32" fillId="3" borderId="0" xfId="0" applyFont="1" applyFill="1" applyBorder="1" applyAlignment="1">
      <alignment horizontal="center" vertical="center" wrapText="1"/>
    </xf>
    <xf numFmtId="0" fontId="43" fillId="3" borderId="64" xfId="0" applyFont="1" applyFill="1" applyBorder="1" applyAlignment="1">
      <alignment horizontal="center" vertical="center"/>
    </xf>
    <xf numFmtId="0" fontId="43" fillId="3" borderId="31" xfId="0" applyFont="1" applyFill="1" applyBorder="1" applyAlignment="1">
      <alignment horizontal="center" vertical="center"/>
    </xf>
    <xf numFmtId="0" fontId="43" fillId="3" borderId="70" xfId="0" applyFont="1" applyFill="1" applyBorder="1" applyAlignment="1">
      <alignment horizontal="center" vertical="center"/>
    </xf>
    <xf numFmtId="0" fontId="37" fillId="15" borderId="29" xfId="0" applyFont="1" applyFill="1" applyBorder="1" applyAlignment="1">
      <alignment horizontal="center" vertical="center" wrapText="1" readingOrder="1"/>
    </xf>
    <xf numFmtId="0" fontId="37" fillId="15" borderId="30" xfId="0" applyFont="1" applyFill="1" applyBorder="1" applyAlignment="1">
      <alignment horizontal="center" vertical="center" wrapText="1" readingOrder="1"/>
    </xf>
    <xf numFmtId="0" fontId="37" fillId="15" borderId="36" xfId="0" applyFont="1" applyFill="1" applyBorder="1" applyAlignment="1">
      <alignment horizontal="center" vertical="center" wrapText="1" readingOrder="1"/>
    </xf>
    <xf numFmtId="0" fontId="34" fillId="15" borderId="68" xfId="0" applyFont="1" applyFill="1" applyBorder="1" applyAlignment="1">
      <alignment horizontal="center" vertical="center" wrapText="1" readingOrder="1"/>
    </xf>
    <xf numFmtId="0" fontId="34" fillId="15" borderId="67"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31" xfId="0" applyFont="1" applyFill="1" applyBorder="1" applyAlignment="1">
      <alignment horizontal="center" vertical="center" wrapText="1" readingOrder="1"/>
    </xf>
    <xf numFmtId="0" fontId="34" fillId="3" borderId="3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4" fillId="3" borderId="34" xfId="0" applyFont="1" applyFill="1" applyBorder="1" applyAlignment="1">
      <alignment horizontal="center" vertical="center" wrapText="1" readingOrder="1"/>
    </xf>
    <xf numFmtId="0" fontId="43" fillId="3" borderId="33" xfId="0" applyFont="1" applyFill="1" applyBorder="1" applyAlignment="1">
      <alignment horizontal="center" vertical="center"/>
    </xf>
    <xf numFmtId="0" fontId="43" fillId="3" borderId="68" xfId="0" applyFont="1" applyFill="1" applyBorder="1" applyAlignment="1">
      <alignment horizontal="center" vertical="center"/>
    </xf>
    <xf numFmtId="0" fontId="43" fillId="3" borderId="74" xfId="0" applyFont="1" applyFill="1" applyBorder="1" applyAlignment="1">
      <alignment horizontal="center" vertical="center"/>
    </xf>
    <xf numFmtId="0" fontId="43" fillId="3" borderId="73" xfId="0" applyFont="1" applyFill="1" applyBorder="1" applyAlignment="1">
      <alignment horizontal="center" vertical="center"/>
    </xf>
    <xf numFmtId="0" fontId="59" fillId="2" borderId="10" xfId="0" applyFont="1" applyFill="1" applyBorder="1" applyAlignment="1">
      <alignment vertical="center"/>
    </xf>
    <xf numFmtId="0" fontId="60" fillId="2" borderId="10" xfId="0" applyFont="1" applyFill="1" applyBorder="1" applyAlignment="1">
      <alignment vertical="center" wrapText="1"/>
    </xf>
    <xf numFmtId="0" fontId="59" fillId="2" borderId="6" xfId="0" applyFont="1" applyFill="1" applyBorder="1" applyAlignment="1">
      <alignment horizontal="center" vertical="center"/>
    </xf>
    <xf numFmtId="0" fontId="59" fillId="2" borderId="10" xfId="0" applyFont="1" applyFill="1" applyBorder="1" applyAlignment="1">
      <alignment horizontal="center" vertical="center"/>
    </xf>
    <xf numFmtId="0" fontId="59" fillId="2" borderId="7" xfId="0" applyFont="1" applyFill="1" applyBorder="1" applyAlignment="1">
      <alignment horizontal="center" vertical="center"/>
    </xf>
    <xf numFmtId="0" fontId="59" fillId="2" borderId="7" xfId="0" applyFont="1" applyFill="1" applyBorder="1" applyAlignment="1">
      <alignment vertical="center"/>
    </xf>
    <xf numFmtId="0" fontId="32" fillId="3" borderId="0" xfId="0" applyFont="1" applyFill="1"/>
    <xf numFmtId="0" fontId="32" fillId="0" borderId="0" xfId="0" applyFont="1"/>
    <xf numFmtId="0" fontId="59" fillId="2" borderId="4" xfId="0" applyFont="1" applyFill="1" applyBorder="1" applyAlignment="1">
      <alignment horizontal="center" vertical="center" textRotation="90"/>
    </xf>
    <xf numFmtId="0" fontId="60" fillId="2" borderId="2" xfId="0" applyFont="1" applyFill="1" applyBorder="1" applyAlignment="1">
      <alignment horizontal="center" vertical="center" wrapText="1"/>
    </xf>
    <xf numFmtId="0" fontId="59" fillId="2" borderId="4" xfId="0" applyFont="1" applyFill="1" applyBorder="1" applyAlignment="1">
      <alignment horizontal="center" vertical="center" wrapText="1"/>
    </xf>
    <xf numFmtId="0" fontId="59" fillId="2" borderId="2" xfId="0" applyFont="1" applyFill="1" applyBorder="1" applyAlignment="1">
      <alignment horizontal="center" vertical="center"/>
    </xf>
    <xf numFmtId="0" fontId="59" fillId="2" borderId="5" xfId="0" applyFont="1" applyFill="1" applyBorder="1" applyAlignment="1">
      <alignment horizontal="center" vertical="center" wrapText="1"/>
    </xf>
    <xf numFmtId="0" fontId="59" fillId="2" borderId="5" xfId="0" applyFont="1" applyFill="1" applyBorder="1" applyAlignment="1">
      <alignment horizontal="center" vertical="center"/>
    </xf>
    <xf numFmtId="0" fontId="60" fillId="2" borderId="2" xfId="0" applyFont="1" applyFill="1" applyBorder="1" applyAlignment="1">
      <alignment horizontal="center" vertical="center"/>
    </xf>
    <xf numFmtId="0" fontId="41" fillId="2" borderId="8" xfId="0" applyFont="1" applyFill="1" applyBorder="1" applyAlignment="1">
      <alignment horizontal="center" vertical="center" wrapText="1"/>
    </xf>
    <xf numFmtId="0" fontId="41" fillId="2" borderId="9" xfId="0" applyFont="1" applyFill="1" applyBorder="1" applyAlignment="1">
      <alignment horizontal="center" vertical="center"/>
    </xf>
    <xf numFmtId="0" fontId="41" fillId="2" borderId="4" xfId="0" applyFont="1" applyFill="1" applyBorder="1" applyAlignment="1">
      <alignment horizontal="center" vertical="center" wrapText="1"/>
    </xf>
    <xf numFmtId="0" fontId="41" fillId="2" borderId="9" xfId="0" applyFont="1" applyFill="1" applyBorder="1" applyAlignment="1">
      <alignment horizontal="center" vertical="center" wrapText="1"/>
    </xf>
    <xf numFmtId="0" fontId="41" fillId="2" borderId="5" xfId="0" applyFont="1" applyFill="1" applyBorder="1" applyAlignment="1">
      <alignment horizontal="center" vertical="center" wrapText="1"/>
    </xf>
    <xf numFmtId="0" fontId="41" fillId="2" borderId="4" xfId="0" applyFont="1" applyFill="1" applyBorder="1" applyAlignment="1">
      <alignment horizontal="center" vertical="center" textRotation="90" wrapText="1"/>
    </xf>
    <xf numFmtId="0" fontId="41" fillId="2" borderId="2" xfId="0" applyFont="1" applyFill="1" applyBorder="1" applyAlignment="1">
      <alignment horizontal="center" vertical="center" wrapText="1"/>
    </xf>
    <xf numFmtId="0" fontId="59" fillId="2" borderId="6" xfId="0" applyFont="1" applyFill="1" applyBorder="1" applyAlignment="1">
      <alignment horizontal="center" vertical="center" wrapText="1"/>
    </xf>
    <xf numFmtId="0" fontId="59" fillId="2" borderId="10" xfId="0" applyFont="1" applyFill="1" applyBorder="1" applyAlignment="1">
      <alignment horizontal="center" vertical="center" wrapText="1"/>
    </xf>
    <xf numFmtId="0" fontId="59" fillId="2" borderId="7" xfId="0" applyFont="1" applyFill="1" applyBorder="1" applyAlignment="1">
      <alignment horizontal="center" vertical="center" wrapText="1"/>
    </xf>
    <xf numFmtId="0" fontId="41" fillId="2" borderId="2" xfId="0" applyFont="1" applyFill="1" applyBorder="1" applyAlignment="1">
      <alignment horizontal="center" vertical="center" textRotation="90" wrapText="1"/>
    </xf>
    <xf numFmtId="0" fontId="60" fillId="2" borderId="4" xfId="0" applyFont="1" applyFill="1" applyBorder="1" applyAlignment="1">
      <alignment horizontal="center" vertical="center" wrapText="1"/>
    </xf>
    <xf numFmtId="0" fontId="59" fillId="2" borderId="5" xfId="0" applyFont="1" applyFill="1" applyBorder="1" applyAlignment="1">
      <alignment horizontal="center" vertical="center" textRotation="90"/>
    </xf>
    <xf numFmtId="0" fontId="59" fillId="2" borderId="2" xfId="0" applyFont="1" applyFill="1" applyBorder="1" applyAlignment="1">
      <alignment horizontal="center" vertical="center" wrapText="1"/>
    </xf>
    <xf numFmtId="0" fontId="41" fillId="2" borderId="3" xfId="0" applyFont="1" applyFill="1" applyBorder="1" applyAlignment="1">
      <alignment horizontal="center" vertical="center"/>
    </xf>
    <xf numFmtId="0" fontId="41" fillId="2" borderId="5" xfId="0" applyFont="1" applyFill="1" applyBorder="1" applyAlignment="1">
      <alignment horizontal="center" vertical="center" textRotation="90" wrapText="1"/>
    </xf>
    <xf numFmtId="0" fontId="41" fillId="2" borderId="2" xfId="0" applyFont="1" applyFill="1" applyBorder="1" applyAlignment="1">
      <alignment horizontal="center" vertical="center" textRotation="90"/>
    </xf>
    <xf numFmtId="0" fontId="59" fillId="2" borderId="2" xfId="0" applyFont="1" applyFill="1" applyBorder="1" applyAlignment="1">
      <alignment vertical="center" textRotation="90" wrapText="1"/>
    </xf>
    <xf numFmtId="0" fontId="60" fillId="2" borderId="2" xfId="0" applyFont="1" applyFill="1" applyBorder="1" applyAlignment="1">
      <alignment horizontal="center" vertical="center" textRotation="90" wrapText="1"/>
    </xf>
    <xf numFmtId="0" fontId="60" fillId="2" borderId="2" xfId="0" applyFont="1" applyFill="1" applyBorder="1" applyAlignment="1">
      <alignment horizontal="center" vertical="center" textRotation="90"/>
    </xf>
    <xf numFmtId="0" fontId="60" fillId="2" borderId="5" xfId="0" applyFont="1" applyFill="1" applyBorder="1" applyAlignment="1">
      <alignment horizontal="center" vertical="center" wrapText="1"/>
    </xf>
    <xf numFmtId="0" fontId="59" fillId="3" borderId="0" xfId="0" applyFont="1" applyFill="1" applyAlignment="1">
      <alignment horizontal="center" vertical="center"/>
    </xf>
    <xf numFmtId="0" fontId="59" fillId="2" borderId="0" xfId="0" applyFont="1" applyFill="1" applyAlignment="1">
      <alignment horizontal="center" vertical="center"/>
    </xf>
    <xf numFmtId="0" fontId="32" fillId="0" borderId="4" xfId="0" applyFont="1" applyBorder="1" applyAlignment="1" applyProtection="1">
      <alignment horizontal="center" vertical="top"/>
      <protection locked="0"/>
    </xf>
    <xf numFmtId="0" fontId="32" fillId="0" borderId="4" xfId="0" applyFont="1" applyBorder="1" applyAlignment="1" applyProtection="1">
      <alignment horizontal="left" vertical="top" wrapText="1"/>
      <protection locked="0"/>
    </xf>
    <xf numFmtId="0" fontId="32" fillId="0" borderId="4" xfId="0" applyFont="1" applyBorder="1" applyAlignment="1" applyProtection="1">
      <alignment horizontal="center" vertical="top" wrapText="1"/>
      <protection locked="0"/>
    </xf>
    <xf numFmtId="0" fontId="61" fillId="0" borderId="4" xfId="0" applyFont="1" applyBorder="1" applyAlignment="1" applyProtection="1">
      <alignment horizontal="center" vertical="top" wrapText="1"/>
      <protection locked="0"/>
    </xf>
    <xf numFmtId="0" fontId="59" fillId="0" borderId="4" xfId="0" applyFont="1" applyFill="1" applyBorder="1" applyAlignment="1" applyProtection="1">
      <alignment horizontal="center" vertical="top" wrapText="1"/>
      <protection hidden="1"/>
    </xf>
    <xf numFmtId="9" fontId="32" fillId="0" borderId="4" xfId="0" applyNumberFormat="1" applyFont="1" applyBorder="1" applyAlignment="1" applyProtection="1">
      <alignment horizontal="center" vertical="top" wrapText="1"/>
      <protection hidden="1"/>
    </xf>
    <xf numFmtId="9" fontId="32" fillId="0" borderId="4" xfId="0" applyNumberFormat="1" applyFont="1" applyBorder="1" applyAlignment="1" applyProtection="1">
      <alignment horizontal="center" vertical="top" wrapText="1"/>
      <protection locked="0"/>
    </xf>
    <xf numFmtId="0" fontId="59" fillId="0" borderId="4" xfId="0" applyFont="1" applyBorder="1" applyAlignment="1" applyProtection="1">
      <alignment horizontal="center" vertical="top"/>
      <protection hidden="1"/>
    </xf>
    <xf numFmtId="0" fontId="32" fillId="0" borderId="2" xfId="0" applyFont="1" applyBorder="1" applyAlignment="1" applyProtection="1">
      <alignment horizontal="center" vertical="center"/>
      <protection locked="0"/>
    </xf>
    <xf numFmtId="0" fontId="32" fillId="0" borderId="2" xfId="0" applyFont="1" applyBorder="1" applyAlignment="1" applyProtection="1">
      <alignment horizontal="justify" vertical="center" wrapText="1"/>
      <protection locked="0"/>
    </xf>
    <xf numFmtId="0" fontId="32" fillId="0" borderId="2" xfId="0" applyFont="1" applyBorder="1" applyAlignment="1" applyProtection="1">
      <alignment horizontal="center" vertical="center" textRotation="90"/>
      <protection locked="0"/>
    </xf>
    <xf numFmtId="9" fontId="32" fillId="0" borderId="2" xfId="0" applyNumberFormat="1" applyFont="1" applyBorder="1" applyAlignment="1" applyProtection="1">
      <alignment horizontal="center" vertical="center"/>
    </xf>
    <xf numFmtId="164" fontId="32" fillId="0" borderId="2" xfId="1" applyNumberFormat="1" applyFont="1" applyBorder="1" applyAlignment="1" applyProtection="1">
      <alignment horizontal="center" vertical="center"/>
    </xf>
    <xf numFmtId="164" fontId="32" fillId="0" borderId="2" xfId="1" applyNumberFormat="1" applyFont="1" applyBorder="1" applyAlignment="1" applyProtection="1">
      <alignment horizontal="center" vertical="center" wrapText="1"/>
      <protection locked="0"/>
    </xf>
    <xf numFmtId="164" fontId="32" fillId="0" borderId="2" xfId="1" applyNumberFormat="1" applyFont="1" applyBorder="1" applyAlignment="1" applyProtection="1">
      <alignment horizontal="center" vertical="center"/>
      <protection locked="0"/>
    </xf>
    <xf numFmtId="0" fontId="59" fillId="0" borderId="2" xfId="0" applyFont="1" applyFill="1" applyBorder="1" applyAlignment="1" applyProtection="1">
      <alignment horizontal="center" vertical="center" textRotation="90" wrapText="1"/>
      <protection hidden="1"/>
    </xf>
    <xf numFmtId="9" fontId="32" fillId="0" borderId="4" xfId="0" applyNumberFormat="1" applyFont="1" applyBorder="1" applyAlignment="1" applyProtection="1">
      <alignment horizontal="center" vertical="center"/>
      <protection hidden="1"/>
    </xf>
    <xf numFmtId="0" fontId="59" fillId="0" borderId="2" xfId="0" applyFont="1" applyBorder="1" applyAlignment="1" applyProtection="1">
      <alignment horizontal="center" vertical="center" textRotation="90"/>
      <protection hidden="1"/>
    </xf>
    <xf numFmtId="0" fontId="32" fillId="0" borderId="4" xfId="0" applyFont="1" applyBorder="1" applyAlignment="1" applyProtection="1">
      <alignment horizontal="center" vertical="center" textRotation="90"/>
      <protection locked="0"/>
    </xf>
    <xf numFmtId="0" fontId="32" fillId="0" borderId="2" xfId="0" applyFont="1" applyBorder="1" applyAlignment="1" applyProtection="1">
      <alignment horizontal="center" vertical="center" wrapText="1"/>
      <protection locked="0"/>
    </xf>
    <xf numFmtId="0" fontId="32" fillId="0" borderId="2" xfId="0" applyFont="1" applyBorder="1" applyAlignment="1" applyProtection="1">
      <alignment horizontal="left" vertical="center" wrapText="1"/>
      <protection locked="0"/>
    </xf>
    <xf numFmtId="14" fontId="32" fillId="0" borderId="2" xfId="0" applyNumberFormat="1" applyFont="1" applyBorder="1" applyAlignment="1" applyProtection="1">
      <alignment horizontal="center" vertical="center"/>
      <protection locked="0"/>
    </xf>
    <xf numFmtId="0" fontId="32" fillId="3" borderId="0" xfId="0" applyFont="1" applyFill="1" applyAlignment="1">
      <alignment vertical="center"/>
    </xf>
    <xf numFmtId="0" fontId="32" fillId="0" borderId="0" xfId="0" applyFont="1" applyAlignment="1">
      <alignment vertical="center"/>
    </xf>
    <xf numFmtId="0" fontId="32" fillId="0" borderId="8" xfId="0" applyFont="1" applyBorder="1" applyAlignment="1" applyProtection="1">
      <alignment horizontal="center" vertical="top"/>
      <protection locked="0"/>
    </xf>
    <xf numFmtId="0" fontId="32" fillId="0" borderId="8" xfId="0" applyFont="1" applyBorder="1" applyAlignment="1" applyProtection="1">
      <alignment horizontal="left" vertical="top" wrapText="1"/>
      <protection locked="0"/>
    </xf>
    <xf numFmtId="0" fontId="32" fillId="0" borderId="8" xfId="0" applyFont="1" applyBorder="1" applyAlignment="1" applyProtection="1">
      <alignment horizontal="center" vertical="top" wrapText="1"/>
      <protection locked="0"/>
    </xf>
    <xf numFmtId="0" fontId="61" fillId="0" borderId="8" xfId="0" applyFont="1" applyBorder="1" applyAlignment="1" applyProtection="1">
      <alignment horizontal="center" vertical="top" wrapText="1"/>
      <protection locked="0"/>
    </xf>
    <xf numFmtId="0" fontId="59" fillId="0" borderId="8" xfId="0" applyFont="1" applyFill="1" applyBorder="1" applyAlignment="1" applyProtection="1">
      <alignment horizontal="center" vertical="top" wrapText="1"/>
      <protection hidden="1"/>
    </xf>
    <xf numFmtId="9" fontId="32" fillId="0" borderId="8" xfId="0" applyNumberFormat="1" applyFont="1" applyBorder="1" applyAlignment="1" applyProtection="1">
      <alignment horizontal="center" vertical="top" wrapText="1"/>
      <protection hidden="1"/>
    </xf>
    <xf numFmtId="9" fontId="32" fillId="0" borderId="8" xfId="0" applyNumberFormat="1" applyFont="1" applyBorder="1" applyAlignment="1" applyProtection="1">
      <alignment horizontal="center" vertical="top" wrapText="1"/>
      <protection locked="0"/>
    </xf>
    <xf numFmtId="0" fontId="59" fillId="0" borderId="8" xfId="0" applyFont="1" applyBorder="1" applyAlignment="1" applyProtection="1">
      <alignment horizontal="center" vertical="top"/>
      <protection hidden="1"/>
    </xf>
    <xf numFmtId="0" fontId="32" fillId="0" borderId="2" xfId="0" applyFont="1" applyBorder="1" applyAlignment="1" applyProtection="1">
      <alignment horizontal="center" vertical="top"/>
      <protection locked="0"/>
    </xf>
    <xf numFmtId="9" fontId="32" fillId="0" borderId="2" xfId="0" applyNumberFormat="1" applyFont="1" applyBorder="1" applyAlignment="1" applyProtection="1">
      <alignment horizontal="center" vertical="top"/>
    </xf>
    <xf numFmtId="0" fontId="32" fillId="0" borderId="2" xfId="0" applyFont="1" applyBorder="1" applyAlignment="1" applyProtection="1">
      <alignment horizontal="center" vertical="top" textRotation="90"/>
      <protection locked="0"/>
    </xf>
    <xf numFmtId="164" fontId="32" fillId="0" borderId="2" xfId="1" applyNumberFormat="1" applyFont="1" applyBorder="1" applyAlignment="1" applyProtection="1">
      <alignment horizontal="center" vertical="top"/>
    </xf>
    <xf numFmtId="9" fontId="32" fillId="0" borderId="4" xfId="0" applyNumberFormat="1" applyFont="1" applyBorder="1" applyAlignment="1" applyProtection="1">
      <alignment horizontal="center" vertical="top"/>
      <protection hidden="1"/>
    </xf>
    <xf numFmtId="0" fontId="59" fillId="0" borderId="2" xfId="0" applyFont="1" applyFill="1" applyBorder="1" applyAlignment="1" applyProtection="1">
      <alignment horizontal="center" vertical="top" textRotation="90" wrapText="1"/>
      <protection hidden="1"/>
    </xf>
    <xf numFmtId="0" fontId="32" fillId="0" borderId="5" xfId="0" applyFont="1" applyBorder="1" applyAlignment="1" applyProtection="1">
      <alignment horizontal="center" vertical="top"/>
      <protection locked="0"/>
    </xf>
    <xf numFmtId="0" fontId="32" fillId="0" borderId="5" xfId="0" applyFont="1" applyBorder="1" applyAlignment="1" applyProtection="1">
      <alignment horizontal="left" vertical="top" wrapText="1"/>
      <protection locked="0"/>
    </xf>
    <xf numFmtId="0" fontId="32" fillId="0" borderId="5" xfId="0" applyFont="1" applyBorder="1" applyAlignment="1" applyProtection="1">
      <alignment horizontal="center" vertical="top" wrapText="1"/>
      <protection locked="0"/>
    </xf>
    <xf numFmtId="0" fontId="61" fillId="0" borderId="5" xfId="0" applyFont="1" applyBorder="1" applyAlignment="1" applyProtection="1">
      <alignment horizontal="center" vertical="top" wrapText="1"/>
      <protection locked="0"/>
    </xf>
    <xf numFmtId="0" fontId="59" fillId="0" borderId="5" xfId="0" applyFont="1" applyFill="1" applyBorder="1" applyAlignment="1" applyProtection="1">
      <alignment horizontal="center" vertical="top" wrapText="1"/>
      <protection hidden="1"/>
    </xf>
    <xf numFmtId="9" fontId="32" fillId="0" borderId="5" xfId="0" applyNumberFormat="1" applyFont="1" applyBorder="1" applyAlignment="1" applyProtection="1">
      <alignment horizontal="center" vertical="top" wrapText="1"/>
      <protection hidden="1"/>
    </xf>
    <xf numFmtId="9" fontId="32" fillId="0" borderId="5" xfId="0" applyNumberFormat="1" applyFont="1" applyBorder="1" applyAlignment="1" applyProtection="1">
      <alignment horizontal="center" vertical="top" wrapText="1"/>
      <protection locked="0"/>
    </xf>
    <xf numFmtId="0" fontId="59" fillId="0" borderId="5" xfId="0" applyFont="1" applyBorder="1" applyAlignment="1" applyProtection="1">
      <alignment horizontal="center" vertical="top"/>
      <protection hidden="1"/>
    </xf>
    <xf numFmtId="0" fontId="61" fillId="0" borderId="4" xfId="0" applyFont="1" applyBorder="1" applyAlignment="1" applyProtection="1">
      <alignment horizontal="left" vertical="top" wrapText="1"/>
      <protection locked="0"/>
    </xf>
    <xf numFmtId="0" fontId="61" fillId="0" borderId="8" xfId="0" applyFont="1" applyBorder="1" applyAlignment="1" applyProtection="1">
      <alignment horizontal="left" vertical="top" wrapText="1"/>
      <protection locked="0"/>
    </xf>
    <xf numFmtId="0" fontId="61" fillId="0" borderId="5" xfId="0" applyFont="1" applyBorder="1" applyAlignment="1" applyProtection="1">
      <alignment horizontal="left" vertical="top" wrapText="1"/>
      <protection locked="0"/>
    </xf>
    <xf numFmtId="14" fontId="32" fillId="0" borderId="2" xfId="0" applyNumberFormat="1" applyFont="1" applyBorder="1" applyAlignment="1" applyProtection="1">
      <alignment horizontal="center" vertical="center" wrapText="1"/>
      <protection locked="0"/>
    </xf>
    <xf numFmtId="0" fontId="32" fillId="0" borderId="2" xfId="0" applyFont="1" applyFill="1" applyBorder="1" applyAlignment="1" applyProtection="1">
      <alignment horizontal="justify" vertical="center" wrapText="1"/>
      <protection locked="0"/>
    </xf>
    <xf numFmtId="0" fontId="32" fillId="0" borderId="0" xfId="0" applyFont="1" applyAlignment="1">
      <alignment horizontal="center" vertical="center"/>
    </xf>
    <xf numFmtId="0" fontId="32" fillId="0" borderId="0" xfId="0" applyFont="1" applyAlignment="1">
      <alignment horizontal="center" vertical="center" wrapText="1"/>
    </xf>
    <xf numFmtId="0" fontId="32" fillId="0" borderId="0" xfId="0" applyFont="1" applyAlignment="1">
      <alignment horizontal="center"/>
    </xf>
    <xf numFmtId="0" fontId="32" fillId="0" borderId="0" xfId="0" applyFont="1" applyAlignment="1">
      <alignment wrapText="1"/>
    </xf>
  </cellXfs>
  <cellStyles count="5">
    <cellStyle name="Normal" xfId="0" builtinId="0"/>
    <cellStyle name="Normal - Style1 2" xfId="2"/>
    <cellStyle name="Normal 2" xfId="4"/>
    <cellStyle name="Normal 2 2" xfId="3"/>
    <cellStyle name="Porcentaje" xfId="1" builtinId="5"/>
  </cellStyles>
  <dxfs count="551">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illyvijalba\Downloads\FORMATO%20DE%20RIESGO%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H45"/>
  <sheetViews>
    <sheetView zoomScale="110" zoomScaleNormal="110" workbookViewId="0">
      <selection activeCell="B4" sqref="B4:H5"/>
    </sheetView>
  </sheetViews>
  <sheetFormatPr baseColWidth="10" defaultRowHeight="15" x14ac:dyDescent="0.25"/>
  <cols>
    <col min="1" max="1" width="2.85546875" style="70" customWidth="1"/>
    <col min="2" max="3" width="24.7109375" style="70" customWidth="1"/>
    <col min="4" max="4" width="16" style="70" customWidth="1"/>
    <col min="5" max="5" width="24.7109375" style="70" customWidth="1"/>
    <col min="6" max="6" width="27.7109375" style="70" customWidth="1"/>
    <col min="7" max="8" width="24.7109375" style="70" customWidth="1"/>
    <col min="9" max="16384" width="11.42578125" style="70"/>
  </cols>
  <sheetData>
    <row r="1" spans="2:8" ht="15.75" thickBot="1" x14ac:dyDescent="0.3"/>
    <row r="2" spans="2:8" ht="18" x14ac:dyDescent="0.25">
      <c r="B2" s="161" t="s">
        <v>160</v>
      </c>
      <c r="C2" s="162"/>
      <c r="D2" s="162"/>
      <c r="E2" s="162"/>
      <c r="F2" s="162"/>
      <c r="G2" s="162"/>
      <c r="H2" s="163"/>
    </row>
    <row r="3" spans="2:8" x14ac:dyDescent="0.25">
      <c r="B3" s="71"/>
      <c r="C3" s="72"/>
      <c r="D3" s="72"/>
      <c r="E3" s="72"/>
      <c r="F3" s="72"/>
      <c r="G3" s="72"/>
      <c r="H3" s="73"/>
    </row>
    <row r="4" spans="2:8" ht="63" customHeight="1" x14ac:dyDescent="0.25">
      <c r="B4" s="164" t="s">
        <v>203</v>
      </c>
      <c r="C4" s="165"/>
      <c r="D4" s="165"/>
      <c r="E4" s="165"/>
      <c r="F4" s="165"/>
      <c r="G4" s="165"/>
      <c r="H4" s="166"/>
    </row>
    <row r="5" spans="2:8" ht="63" customHeight="1" x14ac:dyDescent="0.25">
      <c r="B5" s="167"/>
      <c r="C5" s="168"/>
      <c r="D5" s="168"/>
      <c r="E5" s="168"/>
      <c r="F5" s="168"/>
      <c r="G5" s="168"/>
      <c r="H5" s="169"/>
    </row>
    <row r="6" spans="2:8" ht="16.5" x14ac:dyDescent="0.25">
      <c r="B6" s="170" t="s">
        <v>158</v>
      </c>
      <c r="C6" s="171"/>
      <c r="D6" s="171"/>
      <c r="E6" s="171"/>
      <c r="F6" s="171"/>
      <c r="G6" s="171"/>
      <c r="H6" s="172"/>
    </row>
    <row r="7" spans="2:8" ht="95.25" customHeight="1" x14ac:dyDescent="0.25">
      <c r="B7" s="180" t="s">
        <v>163</v>
      </c>
      <c r="C7" s="181"/>
      <c r="D7" s="181"/>
      <c r="E7" s="181"/>
      <c r="F7" s="181"/>
      <c r="G7" s="181"/>
      <c r="H7" s="182"/>
    </row>
    <row r="8" spans="2:8" ht="16.5" x14ac:dyDescent="0.25">
      <c r="B8" s="100"/>
      <c r="C8" s="101"/>
      <c r="D8" s="101"/>
      <c r="E8" s="101"/>
      <c r="F8" s="101"/>
      <c r="G8" s="101"/>
      <c r="H8" s="102"/>
    </row>
    <row r="9" spans="2:8" ht="16.5" customHeight="1" x14ac:dyDescent="0.25">
      <c r="B9" s="173" t="s">
        <v>196</v>
      </c>
      <c r="C9" s="174"/>
      <c r="D9" s="174"/>
      <c r="E9" s="174"/>
      <c r="F9" s="174"/>
      <c r="G9" s="174"/>
      <c r="H9" s="175"/>
    </row>
    <row r="10" spans="2:8" ht="44.25" customHeight="1" x14ac:dyDescent="0.25">
      <c r="B10" s="173"/>
      <c r="C10" s="174"/>
      <c r="D10" s="174"/>
      <c r="E10" s="174"/>
      <c r="F10" s="174"/>
      <c r="G10" s="174"/>
      <c r="H10" s="175"/>
    </row>
    <row r="11" spans="2:8" ht="15.75" thickBot="1" x14ac:dyDescent="0.3">
      <c r="B11" s="88"/>
      <c r="C11" s="91"/>
      <c r="D11" s="96"/>
      <c r="E11" s="97"/>
      <c r="F11" s="97"/>
      <c r="G11" s="98"/>
      <c r="H11" s="99"/>
    </row>
    <row r="12" spans="2:8" ht="15.75" thickTop="1" x14ac:dyDescent="0.25">
      <c r="B12" s="88"/>
      <c r="C12" s="176" t="s">
        <v>159</v>
      </c>
      <c r="D12" s="177"/>
      <c r="E12" s="178" t="s">
        <v>197</v>
      </c>
      <c r="F12" s="179"/>
      <c r="G12" s="91"/>
      <c r="H12" s="92"/>
    </row>
    <row r="13" spans="2:8" ht="35.25" customHeight="1" x14ac:dyDescent="0.25">
      <c r="B13" s="88"/>
      <c r="C13" s="148" t="s">
        <v>190</v>
      </c>
      <c r="D13" s="149"/>
      <c r="E13" s="150" t="s">
        <v>195</v>
      </c>
      <c r="F13" s="151"/>
      <c r="G13" s="91"/>
      <c r="H13" s="92"/>
    </row>
    <row r="14" spans="2:8" ht="17.25" customHeight="1" x14ac:dyDescent="0.25">
      <c r="B14" s="88"/>
      <c r="C14" s="148" t="s">
        <v>191</v>
      </c>
      <c r="D14" s="149"/>
      <c r="E14" s="150" t="s">
        <v>193</v>
      </c>
      <c r="F14" s="151"/>
      <c r="G14" s="91"/>
      <c r="H14" s="92"/>
    </row>
    <row r="15" spans="2:8" ht="19.5" customHeight="1" x14ac:dyDescent="0.25">
      <c r="B15" s="88"/>
      <c r="C15" s="148" t="s">
        <v>192</v>
      </c>
      <c r="D15" s="149"/>
      <c r="E15" s="150" t="s">
        <v>194</v>
      </c>
      <c r="F15" s="151"/>
      <c r="G15" s="91"/>
      <c r="H15" s="92"/>
    </row>
    <row r="16" spans="2:8" ht="69.75" customHeight="1" x14ac:dyDescent="0.25">
      <c r="B16" s="88"/>
      <c r="C16" s="148" t="s">
        <v>161</v>
      </c>
      <c r="D16" s="149"/>
      <c r="E16" s="150" t="s">
        <v>162</v>
      </c>
      <c r="F16" s="151"/>
      <c r="G16" s="91"/>
      <c r="H16" s="92"/>
    </row>
    <row r="17" spans="2:8" ht="34.5" customHeight="1" x14ac:dyDescent="0.25">
      <c r="B17" s="88"/>
      <c r="C17" s="152" t="s">
        <v>2</v>
      </c>
      <c r="D17" s="153"/>
      <c r="E17" s="144" t="s">
        <v>204</v>
      </c>
      <c r="F17" s="145"/>
      <c r="G17" s="91"/>
      <c r="H17" s="92"/>
    </row>
    <row r="18" spans="2:8" ht="27.75" customHeight="1" x14ac:dyDescent="0.25">
      <c r="B18" s="88"/>
      <c r="C18" s="152" t="s">
        <v>3</v>
      </c>
      <c r="D18" s="153"/>
      <c r="E18" s="144" t="s">
        <v>205</v>
      </c>
      <c r="F18" s="145"/>
      <c r="G18" s="91"/>
      <c r="H18" s="92"/>
    </row>
    <row r="19" spans="2:8" ht="28.5" customHeight="1" x14ac:dyDescent="0.25">
      <c r="B19" s="88"/>
      <c r="C19" s="152" t="s">
        <v>42</v>
      </c>
      <c r="D19" s="153"/>
      <c r="E19" s="144" t="s">
        <v>206</v>
      </c>
      <c r="F19" s="145"/>
      <c r="G19" s="91"/>
      <c r="H19" s="92"/>
    </row>
    <row r="20" spans="2:8" ht="72.75" customHeight="1" x14ac:dyDescent="0.25">
      <c r="B20" s="88"/>
      <c r="C20" s="152" t="s">
        <v>1</v>
      </c>
      <c r="D20" s="153"/>
      <c r="E20" s="144" t="s">
        <v>207</v>
      </c>
      <c r="F20" s="145"/>
      <c r="G20" s="91"/>
      <c r="H20" s="92"/>
    </row>
    <row r="21" spans="2:8" ht="64.5" customHeight="1" x14ac:dyDescent="0.25">
      <c r="B21" s="88"/>
      <c r="C21" s="152" t="s">
        <v>48</v>
      </c>
      <c r="D21" s="153"/>
      <c r="E21" s="144" t="s">
        <v>165</v>
      </c>
      <c r="F21" s="145"/>
      <c r="G21" s="91"/>
      <c r="H21" s="92"/>
    </row>
    <row r="22" spans="2:8" ht="71.25" customHeight="1" x14ac:dyDescent="0.25">
      <c r="B22" s="88"/>
      <c r="C22" s="152" t="s">
        <v>164</v>
      </c>
      <c r="D22" s="153"/>
      <c r="E22" s="144" t="s">
        <v>166</v>
      </c>
      <c r="F22" s="145"/>
      <c r="G22" s="91"/>
      <c r="H22" s="92"/>
    </row>
    <row r="23" spans="2:8" ht="55.5" customHeight="1" x14ac:dyDescent="0.25">
      <c r="B23" s="88"/>
      <c r="C23" s="146" t="s">
        <v>167</v>
      </c>
      <c r="D23" s="147"/>
      <c r="E23" s="144" t="s">
        <v>168</v>
      </c>
      <c r="F23" s="145"/>
      <c r="G23" s="91"/>
      <c r="H23" s="92"/>
    </row>
    <row r="24" spans="2:8" ht="42" customHeight="1" x14ac:dyDescent="0.25">
      <c r="B24" s="88"/>
      <c r="C24" s="146" t="s">
        <v>46</v>
      </c>
      <c r="D24" s="147"/>
      <c r="E24" s="144" t="s">
        <v>169</v>
      </c>
      <c r="F24" s="145"/>
      <c r="G24" s="91"/>
      <c r="H24" s="92"/>
    </row>
    <row r="25" spans="2:8" ht="59.25" customHeight="1" x14ac:dyDescent="0.25">
      <c r="B25" s="88"/>
      <c r="C25" s="146" t="s">
        <v>157</v>
      </c>
      <c r="D25" s="147"/>
      <c r="E25" s="144" t="s">
        <v>170</v>
      </c>
      <c r="F25" s="145"/>
      <c r="G25" s="91"/>
      <c r="H25" s="92"/>
    </row>
    <row r="26" spans="2:8" ht="23.25" customHeight="1" x14ac:dyDescent="0.25">
      <c r="B26" s="88"/>
      <c r="C26" s="146" t="s">
        <v>12</v>
      </c>
      <c r="D26" s="147"/>
      <c r="E26" s="144" t="s">
        <v>171</v>
      </c>
      <c r="F26" s="145"/>
      <c r="G26" s="91"/>
      <c r="H26" s="92"/>
    </row>
    <row r="27" spans="2:8" ht="30.75" customHeight="1" x14ac:dyDescent="0.25">
      <c r="B27" s="88"/>
      <c r="C27" s="146" t="s">
        <v>175</v>
      </c>
      <c r="D27" s="147"/>
      <c r="E27" s="144" t="s">
        <v>172</v>
      </c>
      <c r="F27" s="145"/>
      <c r="G27" s="91"/>
      <c r="H27" s="92"/>
    </row>
    <row r="28" spans="2:8" ht="35.25" customHeight="1" x14ac:dyDescent="0.25">
      <c r="B28" s="88"/>
      <c r="C28" s="146" t="s">
        <v>176</v>
      </c>
      <c r="D28" s="147"/>
      <c r="E28" s="144" t="s">
        <v>173</v>
      </c>
      <c r="F28" s="145"/>
      <c r="G28" s="91"/>
      <c r="H28" s="92"/>
    </row>
    <row r="29" spans="2:8" ht="33" customHeight="1" x14ac:dyDescent="0.25">
      <c r="B29" s="88"/>
      <c r="C29" s="146" t="s">
        <v>176</v>
      </c>
      <c r="D29" s="147"/>
      <c r="E29" s="144" t="s">
        <v>173</v>
      </c>
      <c r="F29" s="145"/>
      <c r="G29" s="91"/>
      <c r="H29" s="92"/>
    </row>
    <row r="30" spans="2:8" ht="30" customHeight="1" x14ac:dyDescent="0.25">
      <c r="B30" s="88"/>
      <c r="C30" s="146" t="s">
        <v>177</v>
      </c>
      <c r="D30" s="147"/>
      <c r="E30" s="144" t="s">
        <v>174</v>
      </c>
      <c r="F30" s="145"/>
      <c r="G30" s="91"/>
      <c r="H30" s="92"/>
    </row>
    <row r="31" spans="2:8" ht="35.25" customHeight="1" x14ac:dyDescent="0.25">
      <c r="B31" s="88"/>
      <c r="C31" s="146" t="s">
        <v>178</v>
      </c>
      <c r="D31" s="147"/>
      <c r="E31" s="144" t="s">
        <v>179</v>
      </c>
      <c r="F31" s="145"/>
      <c r="G31" s="91"/>
      <c r="H31" s="92"/>
    </row>
    <row r="32" spans="2:8" ht="31.5" customHeight="1" x14ac:dyDescent="0.25">
      <c r="B32" s="88"/>
      <c r="C32" s="146" t="s">
        <v>180</v>
      </c>
      <c r="D32" s="147"/>
      <c r="E32" s="144" t="s">
        <v>181</v>
      </c>
      <c r="F32" s="145"/>
      <c r="G32" s="91"/>
      <c r="H32" s="92"/>
    </row>
    <row r="33" spans="2:8" ht="35.25" customHeight="1" x14ac:dyDescent="0.25">
      <c r="B33" s="88"/>
      <c r="C33" s="146" t="s">
        <v>182</v>
      </c>
      <c r="D33" s="147"/>
      <c r="E33" s="144" t="s">
        <v>183</v>
      </c>
      <c r="F33" s="145"/>
      <c r="G33" s="91"/>
      <c r="H33" s="92"/>
    </row>
    <row r="34" spans="2:8" ht="59.25" customHeight="1" x14ac:dyDescent="0.25">
      <c r="B34" s="88"/>
      <c r="C34" s="146" t="s">
        <v>184</v>
      </c>
      <c r="D34" s="147"/>
      <c r="E34" s="144" t="s">
        <v>185</v>
      </c>
      <c r="F34" s="145"/>
      <c r="G34" s="91"/>
      <c r="H34" s="92"/>
    </row>
    <row r="35" spans="2:8" ht="29.25" customHeight="1" x14ac:dyDescent="0.25">
      <c r="B35" s="88"/>
      <c r="C35" s="146" t="s">
        <v>29</v>
      </c>
      <c r="D35" s="147"/>
      <c r="E35" s="144" t="s">
        <v>186</v>
      </c>
      <c r="F35" s="145"/>
      <c r="G35" s="91"/>
      <c r="H35" s="92"/>
    </row>
    <row r="36" spans="2:8" ht="82.5" customHeight="1" x14ac:dyDescent="0.25">
      <c r="B36" s="88"/>
      <c r="C36" s="146" t="s">
        <v>188</v>
      </c>
      <c r="D36" s="147"/>
      <c r="E36" s="144" t="s">
        <v>187</v>
      </c>
      <c r="F36" s="145"/>
      <c r="G36" s="91"/>
      <c r="H36" s="92"/>
    </row>
    <row r="37" spans="2:8" ht="46.5" customHeight="1" x14ac:dyDescent="0.25">
      <c r="B37" s="88"/>
      <c r="C37" s="146" t="s">
        <v>39</v>
      </c>
      <c r="D37" s="147"/>
      <c r="E37" s="144" t="s">
        <v>189</v>
      </c>
      <c r="F37" s="145"/>
      <c r="G37" s="91"/>
      <c r="H37" s="92"/>
    </row>
    <row r="38" spans="2:8" ht="6.75" customHeight="1" thickBot="1" x14ac:dyDescent="0.3">
      <c r="B38" s="88"/>
      <c r="C38" s="157"/>
      <c r="D38" s="158"/>
      <c r="E38" s="159"/>
      <c r="F38" s="160"/>
      <c r="G38" s="91"/>
      <c r="H38" s="92"/>
    </row>
    <row r="39" spans="2:8" ht="15.75" thickTop="1" x14ac:dyDescent="0.25">
      <c r="B39" s="88"/>
      <c r="C39" s="89"/>
      <c r="D39" s="89"/>
      <c r="E39" s="90"/>
      <c r="F39" s="90"/>
      <c r="G39" s="91"/>
      <c r="H39" s="92"/>
    </row>
    <row r="40" spans="2:8" ht="21" customHeight="1" x14ac:dyDescent="0.25">
      <c r="B40" s="154" t="s">
        <v>198</v>
      </c>
      <c r="C40" s="155"/>
      <c r="D40" s="155"/>
      <c r="E40" s="155"/>
      <c r="F40" s="155"/>
      <c r="G40" s="155"/>
      <c r="H40" s="156"/>
    </row>
    <row r="41" spans="2:8" ht="20.25" customHeight="1" x14ac:dyDescent="0.25">
      <c r="B41" s="154" t="s">
        <v>199</v>
      </c>
      <c r="C41" s="155"/>
      <c r="D41" s="155"/>
      <c r="E41" s="155"/>
      <c r="F41" s="155"/>
      <c r="G41" s="155"/>
      <c r="H41" s="156"/>
    </row>
    <row r="42" spans="2:8" ht="20.25" customHeight="1" x14ac:dyDescent="0.25">
      <c r="B42" s="154" t="s">
        <v>200</v>
      </c>
      <c r="C42" s="155"/>
      <c r="D42" s="155"/>
      <c r="E42" s="155"/>
      <c r="F42" s="155"/>
      <c r="G42" s="155"/>
      <c r="H42" s="156"/>
    </row>
    <row r="43" spans="2:8" ht="20.25" customHeight="1" x14ac:dyDescent="0.25">
      <c r="B43" s="154" t="s">
        <v>201</v>
      </c>
      <c r="C43" s="155"/>
      <c r="D43" s="155"/>
      <c r="E43" s="155"/>
      <c r="F43" s="155"/>
      <c r="G43" s="155"/>
      <c r="H43" s="156"/>
    </row>
    <row r="44" spans="2:8" x14ac:dyDescent="0.25">
      <c r="B44" s="154" t="s">
        <v>202</v>
      </c>
      <c r="C44" s="155"/>
      <c r="D44" s="155"/>
      <c r="E44" s="155"/>
      <c r="F44" s="155"/>
      <c r="G44" s="155"/>
      <c r="H44" s="156"/>
    </row>
    <row r="45" spans="2:8" ht="15.75" thickBot="1" x14ac:dyDescent="0.3">
      <c r="B45" s="93"/>
      <c r="C45" s="94"/>
      <c r="D45" s="94"/>
      <c r="E45" s="94"/>
      <c r="F45" s="94"/>
      <c r="G45" s="94"/>
      <c r="H45" s="95"/>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002060"/>
  </sheetPr>
  <dimension ref="A1:CA93"/>
  <sheetViews>
    <sheetView showGridLines="0" tabSelected="1" zoomScale="90" zoomScaleNormal="90" workbookViewId="0">
      <pane xSplit="3" ySplit="3" topLeftCell="D4" activePane="bottomRight" state="frozen"/>
      <selection pane="topRight" activeCell="D1" sqref="D1"/>
      <selection pane="bottomLeft" activeCell="A4" sqref="A4"/>
      <selection pane="bottomRight" activeCell="B4" sqref="B4:B9"/>
    </sheetView>
  </sheetViews>
  <sheetFormatPr baseColWidth="10" defaultRowHeight="15.75" x14ac:dyDescent="0.25"/>
  <cols>
    <col min="1" max="1" width="4" style="431" bestFit="1" customWidth="1"/>
    <col min="2" max="2" width="58.42578125" style="432" customWidth="1"/>
    <col min="3" max="3" width="53" style="432" customWidth="1"/>
    <col min="4" max="4" width="14.140625" style="431" customWidth="1"/>
    <col min="5" max="5" width="16.140625" style="431" customWidth="1"/>
    <col min="6" max="6" width="17.42578125" style="431" customWidth="1"/>
    <col min="7" max="7" width="32.42578125" style="349" customWidth="1"/>
    <col min="8" max="10" width="19" style="433" customWidth="1"/>
    <col min="11" max="11" width="64.7109375" style="349" customWidth="1"/>
    <col min="12" max="12" width="16.5703125" style="349" customWidth="1"/>
    <col min="13" max="13" width="6.28515625" style="349" bestFit="1" customWidth="1"/>
    <col min="14" max="14" width="27.28515625" style="349" bestFit="1" customWidth="1"/>
    <col min="15" max="15" width="30.5703125" style="349" hidden="1" customWidth="1"/>
    <col min="16" max="16" width="17.5703125" style="349" customWidth="1"/>
    <col min="17" max="17" width="6.28515625" style="349" bestFit="1" customWidth="1"/>
    <col min="18" max="18" width="30.5703125" style="349" customWidth="1"/>
    <col min="19" max="19" width="5.85546875" style="349" customWidth="1"/>
    <col min="20" max="20" width="31" style="349" customWidth="1"/>
    <col min="21" max="21" width="6.85546875" style="349" customWidth="1"/>
    <col min="22" max="22" width="5" style="349" customWidth="1"/>
    <col min="23" max="23" width="5.5703125" style="349" customWidth="1"/>
    <col min="24" max="24" width="7.140625" style="349" customWidth="1"/>
    <col min="25" max="25" width="6.7109375" style="349" customWidth="1"/>
    <col min="26" max="26" width="7.5703125" style="349" customWidth="1"/>
    <col min="27" max="27" width="7.42578125" style="349" customWidth="1"/>
    <col min="28" max="28" width="15.7109375" style="349" customWidth="1"/>
    <col min="29" max="29" width="19" style="434" customWidth="1"/>
    <col min="30" max="30" width="43.140625" style="434" customWidth="1"/>
    <col min="31" max="31" width="9.7109375" style="434" customWidth="1"/>
    <col min="32" max="32" width="29.28515625" style="349" customWidth="1"/>
    <col min="33" max="33" width="8.7109375" style="349" customWidth="1"/>
    <col min="34" max="34" width="10.42578125" style="349" customWidth="1"/>
    <col min="35" max="35" width="9.28515625" style="349" customWidth="1"/>
    <col min="36" max="36" width="9.140625" style="349" customWidth="1"/>
    <col min="37" max="37" width="8.42578125" style="349" customWidth="1"/>
    <col min="38" max="38" width="7.28515625" style="349" customWidth="1"/>
    <col min="39" max="39" width="23" style="349" customWidth="1"/>
    <col min="40" max="40" width="44.42578125" style="434" customWidth="1"/>
    <col min="41" max="41" width="43.85546875" style="434" customWidth="1"/>
    <col min="42" max="42" width="37.28515625" style="434" customWidth="1"/>
    <col min="43" max="43" width="48.85546875" style="434" customWidth="1"/>
    <col min="44" max="44" width="16.85546875" style="349" customWidth="1"/>
    <col min="45" max="45" width="14.85546875" style="349" customWidth="1"/>
    <col min="46" max="46" width="18.5703125" style="349" customWidth="1"/>
    <col min="47" max="47" width="21" style="349" customWidth="1"/>
    <col min="48" max="16384" width="11.42578125" style="349"/>
  </cols>
  <sheetData>
    <row r="1" spans="1:79" ht="36.75" customHeight="1" x14ac:dyDescent="0.25">
      <c r="A1" s="342"/>
      <c r="B1" s="343" t="s">
        <v>225</v>
      </c>
      <c r="C1" s="344" t="s">
        <v>135</v>
      </c>
      <c r="D1" s="345"/>
      <c r="E1" s="345"/>
      <c r="F1" s="345"/>
      <c r="G1" s="345"/>
      <c r="H1" s="345"/>
      <c r="I1" s="345"/>
      <c r="J1" s="345"/>
      <c r="K1" s="346"/>
      <c r="L1" s="344" t="s">
        <v>136</v>
      </c>
      <c r="M1" s="345"/>
      <c r="N1" s="345"/>
      <c r="O1" s="345"/>
      <c r="P1" s="345"/>
      <c r="Q1" s="345"/>
      <c r="R1" s="346"/>
      <c r="S1" s="344" t="s">
        <v>137</v>
      </c>
      <c r="T1" s="345"/>
      <c r="U1" s="345"/>
      <c r="V1" s="345"/>
      <c r="W1" s="345"/>
      <c r="X1" s="345"/>
      <c r="Y1" s="345"/>
      <c r="Z1" s="345"/>
      <c r="AA1" s="345"/>
      <c r="AB1" s="345"/>
      <c r="AC1" s="345"/>
      <c r="AD1" s="345"/>
      <c r="AE1" s="345"/>
      <c r="AF1" s="345"/>
      <c r="AG1" s="345" t="s">
        <v>138</v>
      </c>
      <c r="AH1" s="345"/>
      <c r="AI1" s="345"/>
      <c r="AJ1" s="345"/>
      <c r="AK1" s="345"/>
      <c r="AL1" s="347"/>
      <c r="AM1" s="344" t="s">
        <v>34</v>
      </c>
      <c r="AN1" s="345"/>
      <c r="AO1" s="345"/>
      <c r="AP1" s="345"/>
      <c r="AQ1" s="345"/>
      <c r="AR1" s="345"/>
      <c r="AS1" s="345"/>
      <c r="AT1" s="345"/>
      <c r="AU1" s="346"/>
      <c r="AV1" s="348"/>
      <c r="AW1" s="348"/>
      <c r="AX1" s="348"/>
      <c r="AY1" s="348"/>
      <c r="AZ1" s="348"/>
      <c r="BA1" s="348"/>
      <c r="BB1" s="348"/>
      <c r="BC1" s="348"/>
      <c r="BD1" s="348"/>
      <c r="BE1" s="348"/>
      <c r="BF1" s="348"/>
      <c r="BG1" s="348"/>
      <c r="BH1" s="348"/>
      <c r="BI1" s="348"/>
      <c r="BJ1" s="348"/>
      <c r="BK1" s="348"/>
      <c r="BL1" s="348"/>
      <c r="BM1" s="348"/>
      <c r="BN1" s="348"/>
      <c r="BO1" s="348"/>
      <c r="BP1" s="348"/>
      <c r="BQ1" s="348"/>
      <c r="BR1" s="348"/>
      <c r="BS1" s="348"/>
      <c r="BT1" s="348"/>
      <c r="BU1" s="348"/>
      <c r="BV1" s="348"/>
      <c r="BW1" s="348"/>
      <c r="BX1" s="348"/>
      <c r="BY1" s="348"/>
      <c r="BZ1" s="348"/>
      <c r="CA1" s="348"/>
    </row>
    <row r="2" spans="1:79" ht="16.5" customHeight="1" x14ac:dyDescent="0.25">
      <c r="A2" s="350" t="s">
        <v>0</v>
      </c>
      <c r="B2" s="351" t="s">
        <v>208</v>
      </c>
      <c r="C2" s="352" t="s">
        <v>223</v>
      </c>
      <c r="D2" s="353" t="s">
        <v>2</v>
      </c>
      <c r="E2" s="354" t="s">
        <v>555</v>
      </c>
      <c r="F2" s="352" t="s">
        <v>556</v>
      </c>
      <c r="G2" s="355" t="s">
        <v>1</v>
      </c>
      <c r="H2" s="352" t="s">
        <v>48</v>
      </c>
      <c r="I2" s="356" t="s">
        <v>13</v>
      </c>
      <c r="J2" s="356" t="s">
        <v>224</v>
      </c>
      <c r="K2" s="354" t="s">
        <v>131</v>
      </c>
      <c r="L2" s="357" t="s">
        <v>33</v>
      </c>
      <c r="M2" s="358" t="s">
        <v>5</v>
      </c>
      <c r="N2" s="359" t="s">
        <v>85</v>
      </c>
      <c r="O2" s="359" t="s">
        <v>90</v>
      </c>
      <c r="P2" s="360" t="s">
        <v>43</v>
      </c>
      <c r="Q2" s="358" t="s">
        <v>5</v>
      </c>
      <c r="R2" s="361" t="s">
        <v>46</v>
      </c>
      <c r="S2" s="362" t="s">
        <v>11</v>
      </c>
      <c r="T2" s="363" t="s">
        <v>157</v>
      </c>
      <c r="U2" s="364" t="s">
        <v>8</v>
      </c>
      <c r="V2" s="365"/>
      <c r="W2" s="365"/>
      <c r="X2" s="365"/>
      <c r="Y2" s="365"/>
      <c r="Z2" s="365"/>
      <c r="AA2" s="365"/>
      <c r="AB2" s="365"/>
      <c r="AC2" s="365"/>
      <c r="AD2" s="365"/>
      <c r="AE2" s="365"/>
      <c r="AF2" s="366"/>
      <c r="AG2" s="367" t="s">
        <v>44</v>
      </c>
      <c r="AH2" s="367" t="s">
        <v>5</v>
      </c>
      <c r="AI2" s="367" t="s">
        <v>45</v>
      </c>
      <c r="AJ2" s="367" t="s">
        <v>5</v>
      </c>
      <c r="AK2" s="367" t="s">
        <v>47</v>
      </c>
      <c r="AL2" s="362" t="s">
        <v>29</v>
      </c>
      <c r="AM2" s="363" t="s">
        <v>34</v>
      </c>
      <c r="AN2" s="359" t="s">
        <v>35</v>
      </c>
      <c r="AO2" s="368" t="s">
        <v>231</v>
      </c>
      <c r="AP2" s="368" t="s">
        <v>229</v>
      </c>
      <c r="AQ2" s="368" t="s">
        <v>230</v>
      </c>
      <c r="AR2" s="363" t="s">
        <v>36</v>
      </c>
      <c r="AS2" s="363" t="s">
        <v>38</v>
      </c>
      <c r="AT2" s="363" t="s">
        <v>37</v>
      </c>
      <c r="AU2" s="363" t="s">
        <v>39</v>
      </c>
      <c r="AV2" s="348"/>
      <c r="AW2" s="348"/>
      <c r="AX2" s="348"/>
      <c r="AY2" s="348"/>
      <c r="AZ2" s="348"/>
      <c r="BA2" s="348"/>
      <c r="BB2" s="348"/>
      <c r="BC2" s="348"/>
      <c r="BD2" s="348"/>
      <c r="BE2" s="348"/>
      <c r="BF2" s="348"/>
      <c r="BG2" s="348"/>
      <c r="BH2" s="348"/>
      <c r="BI2" s="348"/>
      <c r="BJ2" s="348"/>
      <c r="BK2" s="348"/>
      <c r="BL2" s="348"/>
      <c r="BM2" s="348"/>
      <c r="BN2" s="348"/>
      <c r="BO2" s="348"/>
      <c r="BP2" s="348"/>
      <c r="BQ2" s="348"/>
      <c r="BR2" s="348"/>
      <c r="BS2" s="348"/>
      <c r="BT2" s="348"/>
      <c r="BU2" s="348"/>
      <c r="BV2" s="348"/>
      <c r="BW2" s="348"/>
      <c r="BX2" s="348"/>
      <c r="BY2" s="348"/>
      <c r="BZ2" s="348"/>
      <c r="CA2" s="348"/>
    </row>
    <row r="3" spans="1:79" s="379" customFormat="1" ht="108.75" customHeight="1" x14ac:dyDescent="0.25">
      <c r="A3" s="369"/>
      <c r="B3" s="351"/>
      <c r="C3" s="354"/>
      <c r="D3" s="353"/>
      <c r="E3" s="370"/>
      <c r="F3" s="354"/>
      <c r="G3" s="353"/>
      <c r="H3" s="354"/>
      <c r="I3" s="356"/>
      <c r="J3" s="356" t="s">
        <v>224</v>
      </c>
      <c r="K3" s="370"/>
      <c r="L3" s="361"/>
      <c r="M3" s="371"/>
      <c r="N3" s="361"/>
      <c r="O3" s="361"/>
      <c r="P3" s="371"/>
      <c r="Q3" s="371"/>
      <c r="R3" s="363"/>
      <c r="S3" s="372"/>
      <c r="T3" s="363"/>
      <c r="U3" s="373" t="s">
        <v>13</v>
      </c>
      <c r="V3" s="373" t="s">
        <v>17</v>
      </c>
      <c r="W3" s="373" t="s">
        <v>28</v>
      </c>
      <c r="X3" s="373" t="s">
        <v>18</v>
      </c>
      <c r="Y3" s="373" t="s">
        <v>21</v>
      </c>
      <c r="Z3" s="373" t="s">
        <v>24</v>
      </c>
      <c r="AA3" s="374" t="s">
        <v>134</v>
      </c>
      <c r="AB3" s="373" t="s">
        <v>12</v>
      </c>
      <c r="AC3" s="375" t="s">
        <v>226</v>
      </c>
      <c r="AD3" s="375" t="s">
        <v>35</v>
      </c>
      <c r="AE3" s="375" t="s">
        <v>227</v>
      </c>
      <c r="AF3" s="376" t="s">
        <v>228</v>
      </c>
      <c r="AG3" s="367"/>
      <c r="AH3" s="367"/>
      <c r="AI3" s="367"/>
      <c r="AJ3" s="367"/>
      <c r="AK3" s="367"/>
      <c r="AL3" s="372"/>
      <c r="AM3" s="363"/>
      <c r="AN3" s="361"/>
      <c r="AO3" s="377"/>
      <c r="AP3" s="377"/>
      <c r="AQ3" s="377"/>
      <c r="AR3" s="363"/>
      <c r="AS3" s="363"/>
      <c r="AT3" s="363"/>
      <c r="AU3" s="363"/>
      <c r="AV3" s="378"/>
      <c r="AW3" s="378"/>
      <c r="AX3" s="378"/>
      <c r="AY3" s="378"/>
      <c r="AZ3" s="378"/>
      <c r="BA3" s="378"/>
      <c r="BB3" s="378"/>
      <c r="BC3" s="378"/>
      <c r="BD3" s="378"/>
      <c r="BE3" s="378"/>
      <c r="BF3" s="378"/>
      <c r="BG3" s="378"/>
      <c r="BH3" s="378"/>
      <c r="BI3" s="378"/>
      <c r="BJ3" s="378"/>
      <c r="BK3" s="378"/>
      <c r="BL3" s="378"/>
      <c r="BM3" s="378"/>
      <c r="BN3" s="378"/>
      <c r="BO3" s="378"/>
      <c r="BP3" s="378"/>
      <c r="BQ3" s="378"/>
      <c r="BR3" s="378"/>
      <c r="BS3" s="378"/>
      <c r="BT3" s="378"/>
      <c r="BU3" s="378"/>
      <c r="BV3" s="378"/>
      <c r="BW3" s="378"/>
      <c r="BX3" s="378"/>
      <c r="BY3" s="378"/>
      <c r="BZ3" s="378"/>
      <c r="CA3" s="378"/>
    </row>
    <row r="4" spans="1:79" s="403" customFormat="1" ht="108.75" customHeight="1" x14ac:dyDescent="0.25">
      <c r="A4" s="380">
        <v>1</v>
      </c>
      <c r="B4" s="381" t="s">
        <v>259</v>
      </c>
      <c r="C4" s="381" t="s">
        <v>211</v>
      </c>
      <c r="D4" s="382" t="s">
        <v>128</v>
      </c>
      <c r="E4" s="382" t="s">
        <v>254</v>
      </c>
      <c r="F4" s="382" t="s">
        <v>255</v>
      </c>
      <c r="G4" s="383" t="s">
        <v>260</v>
      </c>
      <c r="H4" s="382" t="s">
        <v>126</v>
      </c>
      <c r="I4" s="382" t="s">
        <v>247</v>
      </c>
      <c r="J4" s="382" t="s">
        <v>261</v>
      </c>
      <c r="K4" s="380" t="s">
        <v>101</v>
      </c>
      <c r="L4" s="384" t="str">
        <f>IF(K4&lt;=0,"",IF(K4&lt;="La actividad que conlleva el riesgo se ejecuta como máximos 2 veces por año","Muy Baja",IF(K4="La actividad que conlleva el riesgo se ejecuta de 3 a 24 veces por año","Baja",IF(K4="La actividad que conlleva el riesgo se ejecuta de 24 a 500 veces por año","Media",IF(K4="La actividad que conlleva el riesgo se ejecuta mínimo 500 veces al año y máximo 5000 veces por año","Alta","Muy Alta")))))</f>
        <v>Baja</v>
      </c>
      <c r="M4" s="385">
        <f>IF(L4="","",IF(L4="Muy Baja",0.2,IF(L4="Baja",0.4,IF(L4="Media",0.6,IF(L4="Alta",0.8,IF(L4="Muy Alta",1,))))))</f>
        <v>0.4</v>
      </c>
      <c r="N4" s="386" t="s">
        <v>149</v>
      </c>
      <c r="O4" s="385" t="str">
        <f ca="1">IF(NOT(ISERROR(MATCH(N4,'Tabla Impacto'!$B$221:$B$223,0))),'Tabla Impacto'!$F$223&amp;"Por favor no seleccionar los criterios de impacto(Afectación Económica o presupuestal y Pérdida Reputacional)",N4)</f>
        <v xml:space="preserve">     El riesgo afecta la imagen de la entidad con algunos usuarios de relevancia frente al logro de los objetivos</v>
      </c>
      <c r="P4" s="384" t="str">
        <f ca="1">IF(OR(O4='Tabla Impacto'!$C$11,O4='Tabla Impacto'!$D$11),"Leve",IF(OR(O4='Tabla Impacto'!$C$12,O4='Tabla Impacto'!$D$12),"Menor",IF(OR(O4='Tabla Impacto'!$C$13,O4='Tabla Impacto'!$D$13),"Moderado",IF(OR(O4='Tabla Impacto'!$C$14,O4='Tabla Impacto'!$D$14),"Mayor",IF(OR(O4='Tabla Impacto'!$C$15,O4='Tabla Impacto'!$D$15),"Catastrófico","")))))</f>
        <v>Moderado</v>
      </c>
      <c r="Q4" s="385">
        <f ca="1">IF(P4="","",IF(P4="Leve",0.2,IF(P4="Menor",0.4,IF(P4="Moderado",0.6,IF(P4="Mayor",0.8,IF(P4="Catastrófico",1,))))))</f>
        <v>0.6</v>
      </c>
      <c r="R4" s="387" t="str">
        <f ca="1">IF(OR(AND(L4="Muy Baja",P4="Leve"),AND(L4="Muy Baja",P4="Menor"),AND(L4="Baja",P4="Leve")),"Bajo",IF(OR(AND(L4="Muy baja",P4="Moderado"),AND(L4="Baja",P4="Menor"),AND(L4="Baja",P4="Moderado"),AND(L4="Media",P4="Leve"),AND(L4="Media",P4="Menor"),AND(L4="Media",P4="Moderado"),AND(L4="Alta",P4="Leve"),AND(L4="Alta",P4="Menor")),"Moderado",IF(OR(AND(L4="Muy Baja",P4="Mayor"),AND(L4="Baja",P4="Mayor"),AND(L4="Media",P4="Mayor"),AND(L4="Alta",P4="Moderado"),AND(L4="Alta",P4="Mayor"),AND(L4="Muy Alta",P4="Leve"),AND(L4="Muy Alta",P4="Menor"),AND(L4="Muy Alta",P4="Moderado"),AND(L4="Muy Alta",P4="Mayor")),"Alto",IF(OR(AND(L4="Muy Baja",P4="Catastrófico"),AND(L4="Baja",P4="Catastrófico"),AND(L4="Media",P4="Catastrófico"),AND(L4="Alta",P4="Catastrófico"),AND(L4="Muy Alta",P4="Catastrófico")),"Extremo",""))))</f>
        <v>Moderado</v>
      </c>
      <c r="S4" s="388">
        <v>1</v>
      </c>
      <c r="T4" s="389" t="s">
        <v>552</v>
      </c>
      <c r="U4" s="390" t="s">
        <v>14</v>
      </c>
      <c r="V4" s="390" t="s">
        <v>9</v>
      </c>
      <c r="W4" s="391" t="str">
        <f>IF(AND(U4="Preventivo",V4="Automático"),"50%",IF(AND(U4="Preventivo",V4="Manual"),"40%",IF(AND(U4="Detectivo",V4="Automático"),"40%",IF(AND(U4="Detectivo",V4="Manual"),"30%",IF(AND(U4="Correctivo",V4="Automático"),"35%",IF(AND(U4="Correctivo",V4="Manual"),"25%",""))))))</f>
        <v>40%</v>
      </c>
      <c r="X4" s="390" t="s">
        <v>19</v>
      </c>
      <c r="Y4" s="390" t="s">
        <v>23</v>
      </c>
      <c r="Z4" s="390" t="s">
        <v>117</v>
      </c>
      <c r="AA4" s="392">
        <f>IFERROR(IF(AB4="Probabilidad",(M4-(+M4*W4)),IF(AB4="Impacto",M4,"")),"")</f>
        <v>0.24</v>
      </c>
      <c r="AB4" s="392" t="str">
        <f>IF(OR(U4="Preventivo",U4="Detectivo"),"Probabilidad",IF(U4="Correctivo","Impacto",""))</f>
        <v>Probabilidad</v>
      </c>
      <c r="AC4" s="393" t="s">
        <v>335</v>
      </c>
      <c r="AD4" s="393" t="s">
        <v>257</v>
      </c>
      <c r="AE4" s="393" t="s">
        <v>258</v>
      </c>
      <c r="AF4" s="394" t="s">
        <v>250</v>
      </c>
      <c r="AG4" s="395" t="str">
        <f>IFERROR(IF(AA4="","",IF(AA4&lt;=0.2,"Muy Baja",IF(AA4&lt;=0.4,"Baja",IF(AA4&lt;=0.6,"Media",IF(AA4&lt;=0.8,"Alta","Muy Alta"))))),"")</f>
        <v>Baja</v>
      </c>
      <c r="AH4" s="396">
        <f t="shared" ref="AH4:AH15" si="0">+AA4</f>
        <v>0.24</v>
      </c>
      <c r="AI4" s="395" t="str">
        <f ca="1">IFERROR(IF(AJ4="","",IF(AJ4&lt;=0.2,"Leve",IF(AJ4&lt;=0.4,"Menor",IF(AJ4&lt;=0.6,"Moderado",IF(AJ4&lt;=0.8,"Mayor","Catastrófico"))))),"")</f>
        <v>Moderado</v>
      </c>
      <c r="AJ4" s="396">
        <f ca="1">IFERROR(IF(AB4="Impacto",(Q4-(+Q4*W4)),IF(AB4="Probabilidad",Q4,"")),"")</f>
        <v>0.6</v>
      </c>
      <c r="AK4" s="397" t="str">
        <f ca="1">IFERROR(IF(OR(AND(AG4="Muy Baja",AI4="Leve"),AND(AG4="Muy Baja",AI4="Menor"),AND(AG4="Baja",AI4="Leve")),"Bajo",IF(OR(AND(AG4="Muy baja",AI4="Moderado"),AND(AG4="Baja",AI4="Menor"),AND(AG4="Baja",AI4="Moderado"),AND(AG4="Media",AI4="Leve"),AND(AG4="Media",AI4="Menor"),AND(AG4="Media",AI4="Moderado"),AND(AG4="Alta",AI4="Leve"),AND(AG4="Alta",AI4="Menor")),"Moderado",IF(OR(AND(AG4="Muy Baja",AI4="Mayor"),AND(AG4="Baja",AI4="Mayor"),AND(AG4="Media",AI4="Mayor"),AND(AG4="Alta",AI4="Moderado"),AND(AG4="Alta",AI4="Mayor"),AND(AG4="Muy Alta",AI4="Leve"),AND(AG4="Muy Alta",AI4="Menor"),AND(AG4="Muy Alta",AI4="Moderado"),AND(AG4="Muy Alta",AI4="Mayor")),"Alto",IF(OR(AND(AG4="Muy Baja",AI4="Catastrófico"),AND(AG4="Baja",AI4="Catastrófico"),AND(AG4="Media",AI4="Catastrófico"),AND(AG4="Alta",AI4="Catastrófico"),AND(AG4="Muy Alta",AI4="Catastrófico")),"Extremo","")))),"")</f>
        <v>Moderado</v>
      </c>
      <c r="AL4" s="398" t="s">
        <v>132</v>
      </c>
      <c r="AM4" s="399" t="s">
        <v>553</v>
      </c>
      <c r="AN4" s="399" t="s">
        <v>262</v>
      </c>
      <c r="AO4" s="400" t="s">
        <v>370</v>
      </c>
      <c r="AP4" s="400" t="s">
        <v>395</v>
      </c>
      <c r="AQ4" s="400" t="s">
        <v>397</v>
      </c>
      <c r="AR4" s="401">
        <v>44445</v>
      </c>
      <c r="AS4" s="401" t="s">
        <v>248</v>
      </c>
      <c r="AT4" s="399" t="s">
        <v>263</v>
      </c>
      <c r="AU4" s="388" t="s">
        <v>41</v>
      </c>
      <c r="AV4" s="402"/>
      <c r="AW4" s="402"/>
      <c r="AX4" s="402"/>
      <c r="AY4" s="402"/>
      <c r="AZ4" s="402"/>
      <c r="BA4" s="402"/>
      <c r="BB4" s="402"/>
      <c r="BC4" s="402"/>
      <c r="BD4" s="402"/>
      <c r="BE4" s="402"/>
      <c r="BF4" s="402"/>
      <c r="BG4" s="402"/>
      <c r="BH4" s="402"/>
      <c r="BI4" s="402"/>
      <c r="BJ4" s="402"/>
      <c r="BK4" s="402"/>
      <c r="BL4" s="402"/>
      <c r="BM4" s="402"/>
      <c r="BN4" s="402"/>
      <c r="BO4" s="402"/>
      <c r="BP4" s="402"/>
      <c r="BQ4" s="402"/>
      <c r="BR4" s="402"/>
      <c r="BS4" s="402"/>
      <c r="BT4" s="402"/>
      <c r="BU4" s="402"/>
      <c r="BV4" s="402"/>
      <c r="BW4" s="402"/>
      <c r="BX4" s="402"/>
      <c r="BY4" s="402"/>
      <c r="BZ4" s="402"/>
      <c r="CA4" s="402"/>
    </row>
    <row r="5" spans="1:79" ht="45.75" customHeight="1" x14ac:dyDescent="0.25">
      <c r="A5" s="404"/>
      <c r="B5" s="405"/>
      <c r="C5" s="405"/>
      <c r="D5" s="406"/>
      <c r="E5" s="406"/>
      <c r="F5" s="406"/>
      <c r="G5" s="407"/>
      <c r="H5" s="406"/>
      <c r="I5" s="406"/>
      <c r="J5" s="406"/>
      <c r="K5" s="404"/>
      <c r="L5" s="408"/>
      <c r="M5" s="409"/>
      <c r="N5" s="410"/>
      <c r="O5" s="409">
        <f ca="1">IF(NOT(ISERROR(MATCH(N5,_xlfn.ANCHORARRAY(G16),0))),M18&amp;"Por favor no seleccionar los criterios de impacto",N5)</f>
        <v>0</v>
      </c>
      <c r="P5" s="408"/>
      <c r="Q5" s="409"/>
      <c r="R5" s="411"/>
      <c r="S5" s="412">
        <v>2</v>
      </c>
      <c r="T5" s="389"/>
      <c r="U5" s="390"/>
      <c r="V5" s="390"/>
      <c r="W5" s="413" t="str">
        <f t="shared" ref="W5" si="1">IF(AND(U5="Preventivo",V5="Automático"),"50%",IF(AND(U5="Preventivo",V5="Manual"),"40%",IF(AND(U5="Detectivo",V5="Automático"),"40%",IF(AND(U5="Detectivo",V5="Manual"),"30%",IF(AND(U5="Correctivo",V5="Automático"),"35%",IF(AND(U5="Correctivo",V5="Manual"),"25%",""))))))</f>
        <v/>
      </c>
      <c r="X5" s="414"/>
      <c r="Y5" s="414"/>
      <c r="Z5" s="414"/>
      <c r="AA5" s="415" t="str">
        <f>IFERROR(IF(AND(AB4="Probabilidad",AB5="Probabilidad"),(AH4-(+AH4*W5)),IF(AB5="Probabilidad",(M4-(+M4*W5)),IF(AB5="Impacto",AH4,""))),"")</f>
        <v/>
      </c>
      <c r="AB5" s="392" t="str">
        <f t="shared" ref="AB5:AB57" si="2">IF(OR(U5="Preventivo",U5="Detectivo"),"Probabilidad",IF(U5="Correctivo","Impacto",""))</f>
        <v/>
      </c>
      <c r="AC5" s="393"/>
      <c r="AD5" s="393"/>
      <c r="AE5" s="393"/>
      <c r="AF5" s="394"/>
      <c r="AG5" s="395" t="str">
        <f>IFERROR(IF(AA5="","",IF(AA5&lt;=0.2,"Muy Baja",IF(AA5&lt;=0.4,"Baja",IF(AA5&lt;=0.6,"Media",IF(AA5&lt;=0.8,"Alta","Muy Alta"))))),"")</f>
        <v/>
      </c>
      <c r="AH5" s="396" t="str">
        <f t="shared" si="0"/>
        <v/>
      </c>
      <c r="AI5" s="395" t="str">
        <f>IFERROR(IF(AJ5="","",IF(AJ5&lt;=0.2,"Leve",IF(AJ5&lt;=0.4,"Menor",IF(AJ5&lt;=0.6,"Moderado",IF(AJ5&lt;=0.8,"Mayor","Catastrófico"))))),"")</f>
        <v/>
      </c>
      <c r="AJ5" s="396" t="str">
        <f>IFERROR(IF(AND(AB4="Impacto",AB5="Impacto"),(AJ4-(+AJ4*W5)),IF(AB5="Impacto",($Q$4-(+$Q$4*AB5)),IF(AB5="Probabilidad",AJ4,""))),"")</f>
        <v/>
      </c>
      <c r="AK5" s="397" t="str">
        <f>IFERROR(IF(OR(AND(AG5="Muy Baja",AI5="Leve"),AND(AG5="Muy Baja",AI5="Menor"),AND(AG5="Baja",AI5="Leve")),"Bajo",IF(OR(AND(AG5="Muy baja",AI5="Moderado"),AND(AG5="Baja",AI5="Menor"),AND(AG5="Baja",AI5="Moderado"),AND(AG5="Media",AI5="Leve"),AND(AG5="Media",AI5="Menor"),AND(AG5="Media",AI5="Moderado"),AND(AG5="Alta",AI5="Leve"),AND(AG5="Alta",AI5="Menor")),"Moderado",IF(OR(AND(AG5="Muy Baja",AI5="Mayor"),AND(AG5="Baja",AI5="Mayor"),AND(AG5="Media",AI5="Mayor"),AND(AG5="Alta",AI5="Moderado"),AND(AG5="Alta",AI5="Mayor"),AND(AG5="Muy Alta",AI5="Leve"),AND(AG5="Muy Alta",AI5="Menor"),AND(AG5="Muy Alta",AI5="Moderado"),AND(AG5="Muy Alta",AI5="Mayor")),"Alto",IF(OR(AND(AG5="Muy Baja",AI5="Catastrófico"),AND(AG5="Baja",AI5="Catastrófico"),AND(AG5="Media",AI5="Catastrófico"),AND(AG5="Alta",AI5="Catastrófico"),AND(AG5="Muy Alta",AI5="Catastrófico")),"Extremo","")))),"")</f>
        <v/>
      </c>
      <c r="AL5" s="398"/>
      <c r="AM5" s="399"/>
      <c r="AN5" s="399"/>
      <c r="AO5" s="400"/>
      <c r="AP5" s="400"/>
      <c r="AQ5" s="400"/>
      <c r="AR5" s="401"/>
      <c r="AS5" s="401"/>
      <c r="AT5" s="399"/>
      <c r="AU5" s="388"/>
      <c r="AV5" s="348"/>
      <c r="AW5" s="348"/>
      <c r="AX5" s="348"/>
      <c r="AY5" s="348"/>
      <c r="AZ5" s="348"/>
      <c r="BA5" s="348"/>
      <c r="BB5" s="348"/>
      <c r="BC5" s="348"/>
      <c r="BD5" s="348"/>
      <c r="BE5" s="348"/>
      <c r="BF5" s="348"/>
      <c r="BG5" s="348"/>
      <c r="BH5" s="348"/>
      <c r="BI5" s="348"/>
      <c r="BJ5" s="348"/>
      <c r="BK5" s="348"/>
      <c r="BL5" s="348"/>
      <c r="BM5" s="348"/>
      <c r="BN5" s="348"/>
      <c r="BO5" s="348"/>
      <c r="BP5" s="348"/>
      <c r="BQ5" s="348"/>
      <c r="BR5" s="348"/>
      <c r="BS5" s="348"/>
      <c r="BT5" s="348"/>
      <c r="BU5" s="348"/>
      <c r="BV5" s="348"/>
      <c r="BW5" s="348"/>
      <c r="BX5" s="348"/>
      <c r="BY5" s="348"/>
      <c r="BZ5" s="348"/>
      <c r="CA5" s="348"/>
    </row>
    <row r="6" spans="1:79" ht="45.75" customHeight="1" x14ac:dyDescent="0.25">
      <c r="A6" s="404"/>
      <c r="B6" s="405"/>
      <c r="C6" s="405"/>
      <c r="D6" s="406"/>
      <c r="E6" s="406"/>
      <c r="F6" s="406"/>
      <c r="G6" s="407"/>
      <c r="H6" s="406"/>
      <c r="I6" s="406"/>
      <c r="J6" s="406"/>
      <c r="K6" s="404"/>
      <c r="L6" s="408"/>
      <c r="M6" s="409"/>
      <c r="N6" s="410"/>
      <c r="O6" s="409">
        <f ca="1">IF(NOT(ISERROR(MATCH(N6,_xlfn.ANCHORARRAY(G17),0))),M19&amp;"Por favor no seleccionar los criterios de impacto",N6)</f>
        <v>0</v>
      </c>
      <c r="P6" s="408"/>
      <c r="Q6" s="409"/>
      <c r="R6" s="411"/>
      <c r="S6" s="412">
        <v>3</v>
      </c>
      <c r="T6" s="389"/>
      <c r="U6" s="390"/>
      <c r="V6" s="390"/>
      <c r="W6" s="413" t="str">
        <f t="shared" ref="W6" si="3">IF(AND(U6="Preventivo",V6="Automático"),"50%",IF(AND(U6="Preventivo",V6="Manual"),"40%",IF(AND(U6="Detectivo",V6="Automático"),"40%",IF(AND(U6="Detectivo",V6="Manual"),"30%",IF(AND(U6="Correctivo",V6="Automático"),"35%",IF(AND(U6="Correctivo",V6="Manual"),"25%",""))))))</f>
        <v/>
      </c>
      <c r="X6" s="414"/>
      <c r="Y6" s="414"/>
      <c r="Z6" s="414"/>
      <c r="AA6" s="415" t="str">
        <f>IFERROR(IF(AND(AB5="Probabilidad",AB6="Probabilidad"),(AH5-(+AH5*W6)),IF(AB6="Probabilidad",(M5-(+M5*W6)),IF(AB6="Impacto",AH5,""))),"")</f>
        <v/>
      </c>
      <c r="AB6" s="392" t="str">
        <f t="shared" si="2"/>
        <v/>
      </c>
      <c r="AC6" s="393"/>
      <c r="AD6" s="393"/>
      <c r="AE6" s="393"/>
      <c r="AF6" s="394"/>
      <c r="AG6" s="395" t="str">
        <f>IFERROR(IF(AA6="","",IF(AA6&lt;=0.2,"Muy Baja",IF(AA6&lt;=0.4,"Baja",IF(AA6&lt;=0.6,"Media",IF(AA6&lt;=0.8,"Alta","Muy Alta"))))),"")</f>
        <v/>
      </c>
      <c r="AH6" s="416" t="str">
        <f t="shared" si="0"/>
        <v/>
      </c>
      <c r="AI6" s="395" t="str">
        <f>IFERROR(IF(AJ6="","",IF(AJ6&lt;=0.2,"Leve",IF(AJ6&lt;=0.4,"Menor",IF(AJ6&lt;=0.6,"Moderado",IF(AJ6&lt;=0.8,"Mayor","Catastrófico"))))),"")</f>
        <v/>
      </c>
      <c r="AJ6" s="396" t="str">
        <f>IFERROR(IF(AND(AB5="Impacto",AB6="Impacto"),(AJ5-(+AJ5*W6)),IF(AND(AB5="Probabilidad",AB6="Impacto"),(AJ4-(+AJ4*W6)),IF(AB6="Probabilidad",AJ5,""))),"")</f>
        <v/>
      </c>
      <c r="AK6" s="397" t="str">
        <f>IFERROR(IF(OR(AND(AG6="Muy Baja",AI6="Leve"),AND(AG6="Muy Baja",AI6="Menor"),AND(AG6="Baja",AI6="Leve")),"Bajo",IF(OR(AND(AG6="Muy baja",AI6="Moderado"),AND(AG6="Baja",AI6="Menor"),AND(AG6="Baja",AI6="Moderado"),AND(AG6="Media",AI6="Leve"),AND(AG6="Media",AI6="Menor"),AND(AG6="Media",AI6="Moderado"),AND(AG6="Alta",AI6="Leve"),AND(AG6="Alta",AI6="Menor")),"Moderado",IF(OR(AND(AG6="Muy Baja",AI6="Mayor"),AND(AG6="Baja",AI6="Mayor"),AND(AG6="Media",AI6="Mayor"),AND(AG6="Alta",AI6="Moderado"),AND(AG6="Alta",AI6="Mayor"),AND(AG6="Muy Alta",AI6="Leve"),AND(AG6="Muy Alta",AI6="Menor"),AND(AG6="Muy Alta",AI6="Moderado"),AND(AG6="Muy Alta",AI6="Mayor")),"Alto",IF(OR(AND(AG6="Muy Baja",AI6="Catastrófico"),AND(AG6="Baja",AI6="Catastrófico"),AND(AG6="Media",AI6="Catastrófico"),AND(AG6="Alta",AI6="Catastrófico"),AND(AG6="Muy Alta",AI6="Catastrófico")),"Extremo","")))),"")</f>
        <v/>
      </c>
      <c r="AL6" s="398"/>
      <c r="AM6" s="399"/>
      <c r="AN6" s="399"/>
      <c r="AO6" s="400"/>
      <c r="AP6" s="400"/>
      <c r="AQ6" s="400"/>
      <c r="AR6" s="401"/>
      <c r="AS6" s="401"/>
      <c r="AT6" s="399"/>
      <c r="AU6" s="388"/>
      <c r="AV6" s="348"/>
      <c r="AW6" s="348"/>
      <c r="AX6" s="348"/>
      <c r="AY6" s="348"/>
      <c r="AZ6" s="348"/>
      <c r="BA6" s="348"/>
      <c r="BB6" s="348"/>
      <c r="BC6" s="348"/>
      <c r="BD6" s="348"/>
      <c r="BE6" s="348"/>
      <c r="BF6" s="348"/>
      <c r="BG6" s="348"/>
      <c r="BH6" s="348"/>
      <c r="BI6" s="348"/>
      <c r="BJ6" s="348"/>
      <c r="BK6" s="348"/>
      <c r="BL6" s="348"/>
      <c r="BM6" s="348"/>
      <c r="BN6" s="348"/>
      <c r="BO6" s="348"/>
      <c r="BP6" s="348"/>
      <c r="BQ6" s="348"/>
      <c r="BR6" s="348"/>
      <c r="BS6" s="348"/>
      <c r="BT6" s="348"/>
      <c r="BU6" s="348"/>
      <c r="BV6" s="348"/>
      <c r="BW6" s="348"/>
      <c r="BX6" s="348"/>
      <c r="BY6" s="348"/>
      <c r="BZ6" s="348"/>
      <c r="CA6" s="348"/>
    </row>
    <row r="7" spans="1:79" ht="45.75" customHeight="1" x14ac:dyDescent="0.25">
      <c r="A7" s="404"/>
      <c r="B7" s="405"/>
      <c r="C7" s="405"/>
      <c r="D7" s="406"/>
      <c r="E7" s="406"/>
      <c r="F7" s="406"/>
      <c r="G7" s="407"/>
      <c r="H7" s="406"/>
      <c r="I7" s="406"/>
      <c r="J7" s="406"/>
      <c r="K7" s="404"/>
      <c r="L7" s="408"/>
      <c r="M7" s="409"/>
      <c r="N7" s="410"/>
      <c r="O7" s="409">
        <f ca="1">IF(NOT(ISERROR(MATCH(N7,_xlfn.ANCHORARRAY(G18),0))),M20&amp;"Por favor no seleccionar los criterios de impacto",N7)</f>
        <v>0</v>
      </c>
      <c r="P7" s="408"/>
      <c r="Q7" s="409"/>
      <c r="R7" s="411"/>
      <c r="S7" s="412">
        <v>4</v>
      </c>
      <c r="T7" s="389"/>
      <c r="U7" s="390"/>
      <c r="V7" s="390"/>
      <c r="W7" s="413" t="str">
        <f t="shared" ref="W7" si="4">IF(AND(U7="Preventivo",V7="Automático"),"50%",IF(AND(U7="Preventivo",V7="Manual"),"40%",IF(AND(U7="Detectivo",V7="Automático"),"40%",IF(AND(U7="Detectivo",V7="Manual"),"30%",IF(AND(U7="Correctivo",V7="Automático"),"35%",IF(AND(U7="Correctivo",V7="Manual"),"25%",""))))))</f>
        <v/>
      </c>
      <c r="X7" s="414"/>
      <c r="Y7" s="414"/>
      <c r="Z7" s="414"/>
      <c r="AA7" s="415" t="str">
        <f>IFERROR(IF(AND(AB6="Probabilidad",AB7="Probabilidad"),(AH6-(+AH6*W7)),IF(AND(AB6="Impacto",AB7="Probabilidad"),(W6-(+W6*W7)),IF(AB7="Impacto",AB6,""))),"")</f>
        <v/>
      </c>
      <c r="AB7" s="392" t="str">
        <f t="shared" si="2"/>
        <v/>
      </c>
      <c r="AC7" s="393"/>
      <c r="AD7" s="393"/>
      <c r="AE7" s="393"/>
      <c r="AF7" s="394"/>
      <c r="AG7" s="417" t="str">
        <f>IFERROR(IF(AA7="","",IF(AA7&lt;=0.2,"Muy Baja",IF(AA7&lt;=0.4,"Baja",IF(AA7&lt;=0.6,"Media",IF(AA7&lt;=0.8,"Alta","Muy Alta"))))),"")</f>
        <v/>
      </c>
      <c r="AH7" s="416" t="str">
        <f t="shared" si="0"/>
        <v/>
      </c>
      <c r="AI7" s="395" t="str">
        <f t="shared" ref="AI7:AI57" si="5">IFERROR(IF(AJ7="","",IF(AJ7&lt;=0.2,"Leve",IF(AJ7&lt;=0.4,"Menor",IF(AJ7&lt;=0.6,"Moderado",IF(AJ7&lt;=0.8,"Mayor","Catastrófico"))))),"")</f>
        <v/>
      </c>
      <c r="AJ7" s="396" t="str">
        <f>IFERROR(IF(AND(AB6="Impacto",AB7="Impacto"),(AJ6-(+AJ6*W7)),IF(AND(AB6="Probabilidad",AB7="Impacto"),(AJ5-(+AJ5*W7)),IF(AB7="Probabilidad",AJ6,""))),"")</f>
        <v/>
      </c>
      <c r="AK7" s="397" t="str">
        <f t="shared" ref="AK7:AK9" si="6">IFERROR(IF(OR(AND(AG7="Muy Baja",AI7="Leve"),AND(AG7="Muy Baja",AI7="Menor"),AND(AG7="Baja",AI7="Leve")),"Bajo",IF(OR(AND(AG7="Muy baja",AI7="Moderado"),AND(AG7="Baja",AI7="Menor"),AND(AG7="Baja",AI7="Moderado"),AND(AG7="Media",AI7="Leve"),AND(AG7="Media",AI7="Menor"),AND(AG7="Media",AI7="Moderado"),AND(AG7="Alta",AI7="Leve"),AND(AG7="Alta",AI7="Menor")),"Moderado",IF(OR(AND(AG7="Muy Baja",AI7="Mayor"),AND(AG7="Baja",AI7="Mayor"),AND(AG7="Media",AI7="Mayor"),AND(AG7="Alta",AI7="Moderado"),AND(AG7="Alta",AI7="Mayor"),AND(AG7="Muy Alta",AI7="Leve"),AND(AG7="Muy Alta",AI7="Menor"),AND(AG7="Muy Alta",AI7="Moderado"),AND(AG7="Muy Alta",AI7="Mayor")),"Alto",IF(OR(AND(AG7="Muy Baja",AI7="Catastrófico"),AND(AG7="Baja",AI7="Catastrófico"),AND(AG7="Media",AI7="Catastrófico"),AND(AG7="Alta",AI7="Catastrófico"),AND(AG7="Muy Alta",AI7="Catastrófico")),"Extremo","")))),"")</f>
        <v/>
      </c>
      <c r="AL7" s="398"/>
      <c r="AM7" s="399"/>
      <c r="AN7" s="399"/>
      <c r="AO7" s="400"/>
      <c r="AP7" s="400"/>
      <c r="AQ7" s="400"/>
      <c r="AR7" s="401"/>
      <c r="AS7" s="401"/>
      <c r="AT7" s="399"/>
      <c r="AU7" s="388"/>
      <c r="AV7" s="348"/>
      <c r="AW7" s="348"/>
      <c r="AX7" s="348"/>
      <c r="AY7" s="348"/>
      <c r="AZ7" s="348"/>
      <c r="BA7" s="348"/>
      <c r="BB7" s="348"/>
      <c r="BC7" s="348"/>
      <c r="BD7" s="348"/>
      <c r="BE7" s="348"/>
      <c r="BF7" s="348"/>
      <c r="BG7" s="348"/>
      <c r="BH7" s="348"/>
      <c r="BI7" s="348"/>
      <c r="BJ7" s="348"/>
      <c r="BK7" s="348"/>
      <c r="BL7" s="348"/>
      <c r="BM7" s="348"/>
      <c r="BN7" s="348"/>
      <c r="BO7" s="348"/>
      <c r="BP7" s="348"/>
      <c r="BQ7" s="348"/>
      <c r="BR7" s="348"/>
      <c r="BS7" s="348"/>
      <c r="BT7" s="348"/>
      <c r="BU7" s="348"/>
      <c r="BV7" s="348"/>
      <c r="BW7" s="348"/>
      <c r="BX7" s="348"/>
      <c r="BY7" s="348"/>
      <c r="BZ7" s="348"/>
      <c r="CA7" s="348"/>
    </row>
    <row r="8" spans="1:79" ht="45.75" customHeight="1" x14ac:dyDescent="0.25">
      <c r="A8" s="404"/>
      <c r="B8" s="405"/>
      <c r="C8" s="405"/>
      <c r="D8" s="406"/>
      <c r="E8" s="406"/>
      <c r="F8" s="406"/>
      <c r="G8" s="407"/>
      <c r="H8" s="406"/>
      <c r="I8" s="406"/>
      <c r="J8" s="406"/>
      <c r="K8" s="404"/>
      <c r="L8" s="408"/>
      <c r="M8" s="409"/>
      <c r="N8" s="410"/>
      <c r="O8" s="409">
        <f ca="1">IF(NOT(ISERROR(MATCH(N8,_xlfn.ANCHORARRAY(G19),0))),M21&amp;"Por favor no seleccionar los criterios de impacto",N8)</f>
        <v>0</v>
      </c>
      <c r="P8" s="408"/>
      <c r="Q8" s="409"/>
      <c r="R8" s="411"/>
      <c r="S8" s="412">
        <v>5</v>
      </c>
      <c r="T8" s="389"/>
      <c r="U8" s="414"/>
      <c r="V8" s="414"/>
      <c r="W8" s="413" t="str">
        <f t="shared" ref="W8" si="7">IF(AND(U8="Preventivo",V8="Automático"),"50%",IF(AND(U8="Preventivo",V8="Manual"),"40%",IF(AND(U8="Detectivo",V8="Automático"),"40%",IF(AND(U8="Detectivo",V8="Manual"),"30%",IF(AND(U8="Correctivo",V8="Automático"),"35%",IF(AND(U8="Correctivo",V8="Manual"),"25%",""))))))</f>
        <v/>
      </c>
      <c r="X8" s="414"/>
      <c r="Y8" s="414"/>
      <c r="Z8" s="414"/>
      <c r="AA8" s="415" t="str">
        <f>IFERROR(IF(AND(AB7="Probabilidad",AB8="Probabilidad"),(AH7-(+AH7*W8)),IF(AND(AB7="Impacto",AB8="Probabilidad"),(W7-(+W7*W8)),IF(AB8="Impacto",AB7,""))),"")</f>
        <v/>
      </c>
      <c r="AB8" s="392" t="str">
        <f t="shared" si="2"/>
        <v/>
      </c>
      <c r="AC8" s="393"/>
      <c r="AD8" s="393"/>
      <c r="AE8" s="393"/>
      <c r="AF8" s="394"/>
      <c r="AG8" s="417" t="str">
        <f t="shared" ref="AG8:AG35" si="8">IFERROR(IF(AA8="","",IF(AA8&lt;=0.2,"Muy Baja",IF(AA8&lt;=0.4,"Baja",IF(AA8&lt;=0.6,"Media",IF(AA8&lt;=0.8,"Alta","Muy Alta"))))),"")</f>
        <v/>
      </c>
      <c r="AH8" s="416" t="str">
        <f t="shared" si="0"/>
        <v/>
      </c>
      <c r="AI8" s="395" t="str">
        <f t="shared" si="5"/>
        <v/>
      </c>
      <c r="AJ8" s="396" t="str">
        <f>IFERROR(IF(AND(AB7="Impacto",AB8="Impacto"),(AJ7-(+AJ7*W8)),IF(AND(AB7="Probabilidad",AB8="Impacto"),(AJ6-(+AJ6*W8)),IF(AB8="Probabilidad",AJ7,""))),"")</f>
        <v/>
      </c>
      <c r="AK8" s="397" t="str">
        <f t="shared" si="6"/>
        <v/>
      </c>
      <c r="AL8" s="398"/>
      <c r="AM8" s="399"/>
      <c r="AN8" s="399"/>
      <c r="AO8" s="400"/>
      <c r="AP8" s="400"/>
      <c r="AQ8" s="400"/>
      <c r="AR8" s="401"/>
      <c r="AS8" s="401"/>
      <c r="AT8" s="399"/>
      <c r="AU8" s="388"/>
      <c r="AV8" s="348"/>
      <c r="AW8" s="348"/>
      <c r="AX8" s="348"/>
      <c r="AY8" s="348"/>
      <c r="AZ8" s="348"/>
      <c r="BA8" s="348"/>
      <c r="BB8" s="348"/>
      <c r="BC8" s="348"/>
      <c r="BD8" s="348"/>
      <c r="BE8" s="348"/>
      <c r="BF8" s="348"/>
      <c r="BG8" s="348"/>
      <c r="BH8" s="348"/>
      <c r="BI8" s="348"/>
      <c r="BJ8" s="348"/>
      <c r="BK8" s="348"/>
      <c r="BL8" s="348"/>
      <c r="BM8" s="348"/>
      <c r="BN8" s="348"/>
      <c r="BO8" s="348"/>
      <c r="BP8" s="348"/>
      <c r="BQ8" s="348"/>
      <c r="BR8" s="348"/>
      <c r="BS8" s="348"/>
      <c r="BT8" s="348"/>
      <c r="BU8" s="348"/>
      <c r="BV8" s="348"/>
      <c r="BW8" s="348"/>
      <c r="BX8" s="348"/>
      <c r="BY8" s="348"/>
      <c r="BZ8" s="348"/>
      <c r="CA8" s="348"/>
    </row>
    <row r="9" spans="1:79" ht="45.75" customHeight="1" x14ac:dyDescent="0.25">
      <c r="A9" s="418"/>
      <c r="B9" s="419"/>
      <c r="C9" s="419"/>
      <c r="D9" s="420"/>
      <c r="E9" s="420"/>
      <c r="F9" s="420"/>
      <c r="G9" s="421"/>
      <c r="H9" s="420"/>
      <c r="I9" s="420"/>
      <c r="J9" s="420"/>
      <c r="K9" s="418"/>
      <c r="L9" s="422"/>
      <c r="M9" s="423"/>
      <c r="N9" s="424"/>
      <c r="O9" s="423">
        <f ca="1">IF(NOT(ISERROR(MATCH(N9,_xlfn.ANCHORARRAY(G20),0))),M22&amp;"Por favor no seleccionar los criterios de impacto",N9)</f>
        <v>0</v>
      </c>
      <c r="P9" s="422"/>
      <c r="Q9" s="423"/>
      <c r="R9" s="425"/>
      <c r="S9" s="412">
        <v>6</v>
      </c>
      <c r="T9" s="389"/>
      <c r="U9" s="414"/>
      <c r="V9" s="414"/>
      <c r="W9" s="413" t="str">
        <f t="shared" ref="W9" si="9">IF(AND(U9="Preventivo",V9="Automático"),"50%",IF(AND(U9="Preventivo",V9="Manual"),"40%",IF(AND(U9="Detectivo",V9="Automático"),"40%",IF(AND(U9="Detectivo",V9="Manual"),"30%",IF(AND(U9="Correctivo",V9="Automático"),"35%",IF(AND(U9="Correctivo",V9="Manual"),"25%",""))))))</f>
        <v/>
      </c>
      <c r="X9" s="414"/>
      <c r="Y9" s="414"/>
      <c r="Z9" s="414"/>
      <c r="AA9" s="415" t="str">
        <f>IFERROR(IF(AND(AB8="Probabilidad",AB9="Probabilidad"),(AH8-(+AH8*W9)),IF(AND(AB8="Impacto",AB9="Probabilidad"),(W8-(+W8*W9)),IF(AB9="Impacto",AB8,""))),"")</f>
        <v/>
      </c>
      <c r="AB9" s="392" t="str">
        <f t="shared" si="2"/>
        <v/>
      </c>
      <c r="AC9" s="393"/>
      <c r="AD9" s="393"/>
      <c r="AE9" s="393"/>
      <c r="AF9" s="394"/>
      <c r="AG9" s="417" t="str">
        <f t="shared" si="8"/>
        <v/>
      </c>
      <c r="AH9" s="416" t="str">
        <f t="shared" si="0"/>
        <v/>
      </c>
      <c r="AI9" s="395" t="str">
        <f t="shared" si="5"/>
        <v/>
      </c>
      <c r="AJ9" s="396" t="str">
        <f>IFERROR(IF(AND(AB8="Impacto",AB9="Impacto"),(AJ8-(+AJ8*W9)),IF(AND(AB8="Probabilidad",AB9="Impacto"),(AJ7-(+AJ7*W9)),IF(AB9="Probabilidad",AJ8,""))),"")</f>
        <v/>
      </c>
      <c r="AK9" s="397" t="str">
        <f t="shared" si="6"/>
        <v/>
      </c>
      <c r="AL9" s="398"/>
      <c r="AM9" s="399"/>
      <c r="AN9" s="399"/>
      <c r="AO9" s="400"/>
      <c r="AP9" s="400"/>
      <c r="AQ9" s="400"/>
      <c r="AR9" s="401"/>
      <c r="AS9" s="401"/>
      <c r="AT9" s="399"/>
      <c r="AU9" s="388"/>
      <c r="AV9" s="348"/>
      <c r="AW9" s="348"/>
      <c r="AX9" s="348"/>
      <c r="AY9" s="348"/>
      <c r="AZ9" s="348"/>
      <c r="BA9" s="348"/>
      <c r="BB9" s="348"/>
      <c r="BC9" s="348"/>
      <c r="BD9" s="348"/>
      <c r="BE9" s="348"/>
      <c r="BF9" s="348"/>
      <c r="BG9" s="348"/>
      <c r="BH9" s="348"/>
      <c r="BI9" s="348"/>
      <c r="BJ9" s="348"/>
      <c r="BK9" s="348"/>
      <c r="BL9" s="348"/>
      <c r="BM9" s="348"/>
      <c r="BN9" s="348"/>
      <c r="BO9" s="348"/>
      <c r="BP9" s="348"/>
      <c r="BQ9" s="348"/>
      <c r="BR9" s="348"/>
      <c r="BS9" s="348"/>
      <c r="BT9" s="348"/>
      <c r="BU9" s="348"/>
      <c r="BV9" s="348"/>
      <c r="BW9" s="348"/>
      <c r="BX9" s="348"/>
      <c r="BY9" s="348"/>
      <c r="BZ9" s="348"/>
      <c r="CA9" s="348"/>
    </row>
    <row r="10" spans="1:79" ht="122.25" customHeight="1" x14ac:dyDescent="0.25">
      <c r="A10" s="380">
        <v>2</v>
      </c>
      <c r="B10" s="381" t="s">
        <v>264</v>
      </c>
      <c r="C10" s="381" t="s">
        <v>211</v>
      </c>
      <c r="D10" s="382" t="s">
        <v>128</v>
      </c>
      <c r="E10" s="382" t="s">
        <v>265</v>
      </c>
      <c r="F10" s="382" t="s">
        <v>255</v>
      </c>
      <c r="G10" s="426" t="s">
        <v>336</v>
      </c>
      <c r="H10" s="382" t="s">
        <v>126</v>
      </c>
      <c r="I10" s="382" t="s">
        <v>247</v>
      </c>
      <c r="J10" s="382" t="s">
        <v>266</v>
      </c>
      <c r="K10" s="380" t="s">
        <v>102</v>
      </c>
      <c r="L10" s="384" t="str">
        <f>IF(K10&lt;=0,"",IF(K10&lt;="La actividad que conlleva el riesgo se ejecuta como máximos 2 veces por año","Muy Baja",IF(K10="La actividad que conlleva el riesgo se ejecuta de 3 a 24 veces por año","Baja",IF(K10="La actividad que conlleva el riesgo se ejecuta de 24 a 500 veces por año","Media",IF(K10="La actividad que conlleva el riesgo se ejecuta mínimo 500 veces al año y máximo 5000 veces por año","Alta","Muy Alta")))))</f>
        <v>Media</v>
      </c>
      <c r="M10" s="385">
        <f>IF(L10="","",IF(L10="Muy Baja",0.2,IF(L10="Baja",0.4,IF(L10="Media",0.6,IF(L10="Alta",0.8,IF(L10="Muy Alta",1,))))))</f>
        <v>0.6</v>
      </c>
      <c r="N10" s="386" t="s">
        <v>151</v>
      </c>
      <c r="O10" s="385" t="str">
        <f ca="1">IF(NOT(ISERROR(MATCH(N10,'Tabla Impacto'!$B$221:$B$223,0))),'Tabla Impacto'!$F$223&amp;"Por favor no seleccionar los criterios de impacto(Afectación Económica o presupuestal y Pérdida Reputacional)",N10)</f>
        <v xml:space="preserve">     El riesgo afecta la imagen de la entidad a nivel nacional, con efecto publicitarios sostenible a nivel país</v>
      </c>
      <c r="P10" s="384" t="str">
        <f ca="1">IF(OR(O10='Tabla Impacto'!$C$11,O10='Tabla Impacto'!$D$11),"Leve",IF(OR(O10='Tabla Impacto'!$C$12,O10='Tabla Impacto'!$D$12),"Menor",IF(OR(O10='Tabla Impacto'!$C$13,O10='Tabla Impacto'!$D$13),"Moderado",IF(OR(O10='Tabla Impacto'!$C$14,O10='Tabla Impacto'!$D$14),"Mayor",IF(OR(O10='Tabla Impacto'!$C$15,O10='Tabla Impacto'!$D$15),"Catastrófico","")))))</f>
        <v>Catastrófico</v>
      </c>
      <c r="Q10" s="385">
        <f ca="1">IF(P10="","",IF(P10="Leve",0.2,IF(P10="Menor",0.4,IF(P10="Moderado",0.6,IF(P10="Mayor",0.8,IF(P10="Catastrófico",1,))))))</f>
        <v>1</v>
      </c>
      <c r="R10" s="387" t="str">
        <f ca="1">IF(OR(AND(L10="Muy Baja",P10="Leve"),AND(L10="Muy Baja",P10="Menor"),AND(L10="Baja",P10="Leve")),"Bajo",IF(OR(AND(L10="Muy baja",P10="Moderado"),AND(L10="Baja",P10="Menor"),AND(L10="Baja",P10="Moderado"),AND(L10="Media",P10="Leve"),AND(L10="Media",P10="Menor"),AND(L10="Media",P10="Moderado"),AND(L10="Alta",P10="Leve"),AND(L10="Alta",P10="Menor")),"Moderado",IF(OR(AND(L10="Muy Baja",P10="Mayor"),AND(L10="Baja",P10="Mayor"),AND(L10="Media",P10="Mayor"),AND(L10="Alta",P10="Moderado"),AND(L10="Alta",P10="Mayor"),AND(L10="Muy Alta",P10="Leve"),AND(L10="Muy Alta",P10="Menor"),AND(L10="Muy Alta",P10="Moderado"),AND(L10="Muy Alta",P10="Mayor")),"Alto",IF(OR(AND(L10="Muy Baja",P10="Catastrófico"),AND(L10="Baja",P10="Catastrófico"),AND(L10="Media",P10="Catastrófico"),AND(L10="Alta",P10="Catastrófico"),AND(L10="Muy Alta",P10="Catastrófico")),"Extremo",""))))</f>
        <v>Extremo</v>
      </c>
      <c r="S10" s="412">
        <v>1</v>
      </c>
      <c r="T10" s="389" t="s">
        <v>267</v>
      </c>
      <c r="U10" s="390" t="s">
        <v>14</v>
      </c>
      <c r="V10" s="390" t="s">
        <v>9</v>
      </c>
      <c r="W10" s="391" t="str">
        <f>IF(AND(U10="Preventivo",V10="Automático"),"50%",IF(AND(U10="Preventivo",V10="Manual"),"40%",IF(AND(U10="Detectivo",V10="Automático"),"40%",IF(AND(U10="Detectivo",V10="Manual"),"30%",IF(AND(U10="Correctivo",V10="Automático"),"35%",IF(AND(U10="Correctivo",V10="Manual"),"25%",""))))))</f>
        <v>40%</v>
      </c>
      <c r="X10" s="390" t="s">
        <v>19</v>
      </c>
      <c r="Y10" s="390" t="s">
        <v>23</v>
      </c>
      <c r="Z10" s="390" t="s">
        <v>117</v>
      </c>
      <c r="AA10" s="392">
        <f>IFERROR(IF(AB10="Probabilidad",(M10-(+M10*W10)),IF(AB10="Impacto",M10,"")),"")</f>
        <v>0.36</v>
      </c>
      <c r="AB10" s="392" t="str">
        <f t="shared" si="2"/>
        <v>Probabilidad</v>
      </c>
      <c r="AC10" s="393" t="s">
        <v>268</v>
      </c>
      <c r="AD10" s="393" t="s">
        <v>257</v>
      </c>
      <c r="AE10" s="393" t="s">
        <v>258</v>
      </c>
      <c r="AF10" s="394" t="s">
        <v>248</v>
      </c>
      <c r="AG10" s="395" t="str">
        <f>IFERROR(IF(AA10="","",IF(AA10&lt;=0.2,"Muy Baja",IF(AA10&lt;=0.4,"Baja",IF(AA10&lt;=0.6,"Media",IF(AA10&lt;=0.8,"Alta","Muy Alta"))))),"")</f>
        <v>Baja</v>
      </c>
      <c r="AH10" s="396">
        <f t="shared" si="0"/>
        <v>0.36</v>
      </c>
      <c r="AI10" s="395" t="str">
        <f t="shared" ca="1" si="5"/>
        <v>Catastrófico</v>
      </c>
      <c r="AJ10" s="396">
        <f ca="1">IFERROR(IF(AB10="Impacto",(Q10-(+Q10*W10)),IF(AB10="Probabilidad",Q10,"")),"")</f>
        <v>1</v>
      </c>
      <c r="AK10" s="397" t="str">
        <f ca="1">IFERROR(IF(OR(AND(AG10="Muy Baja",AI10="Leve"),AND(AG10="Muy Baja",AI10="Menor"),AND(AG10="Baja",AI10="Leve")),"Bajo",IF(OR(AND(AG10="Muy baja",AI10="Moderado"),AND(AG10="Baja",AI10="Menor"),AND(AG10="Baja",AI10="Moderado"),AND(AG10="Media",AI10="Leve"),AND(AG10="Media",AI10="Menor"),AND(AG10="Media",AI10="Moderado"),AND(AG10="Alta",AI10="Leve"),AND(AG10="Alta",AI10="Menor")),"Moderado",IF(OR(AND(AG10="Muy Baja",AI10="Mayor"),AND(AG10="Baja",AI10="Mayor"),AND(AG10="Media",AI10="Mayor"),AND(AG10="Alta",AI10="Moderado"),AND(AG10="Alta",AI10="Mayor"),AND(AG10="Muy Alta",AI10="Leve"),AND(AG10="Muy Alta",AI10="Menor"),AND(AG10="Muy Alta",AI10="Moderado"),AND(AG10="Muy Alta",AI10="Mayor")),"Alto",IF(OR(AND(AG10="Muy Baja",AI10="Catastrófico"),AND(AG10="Baja",AI10="Catastrófico"),AND(AG10="Media",AI10="Catastrófico"),AND(AG10="Alta",AI10="Catastrófico"),AND(AG10="Muy Alta",AI10="Catastrófico")),"Extremo","")))),"")</f>
        <v>Extremo</v>
      </c>
      <c r="AL10" s="398" t="s">
        <v>132</v>
      </c>
      <c r="AM10" s="399" t="s">
        <v>269</v>
      </c>
      <c r="AN10" s="399" t="s">
        <v>262</v>
      </c>
      <c r="AO10" s="400" t="s">
        <v>529</v>
      </c>
      <c r="AP10" s="400" t="s">
        <v>513</v>
      </c>
      <c r="AQ10" s="400" t="s">
        <v>514</v>
      </c>
      <c r="AR10" s="401">
        <v>44445</v>
      </c>
      <c r="AS10" s="401" t="s">
        <v>270</v>
      </c>
      <c r="AT10" s="399" t="s">
        <v>263</v>
      </c>
      <c r="AU10" s="388" t="s">
        <v>41</v>
      </c>
      <c r="AV10" s="348"/>
      <c r="AW10" s="348"/>
      <c r="AX10" s="348"/>
      <c r="AY10" s="348"/>
      <c r="AZ10" s="348"/>
      <c r="BA10" s="348"/>
      <c r="BB10" s="348"/>
      <c r="BC10" s="348"/>
      <c r="BD10" s="348"/>
      <c r="BE10" s="348"/>
      <c r="BF10" s="348"/>
      <c r="BG10" s="348"/>
      <c r="BH10" s="348"/>
      <c r="BI10" s="348"/>
      <c r="BJ10" s="348"/>
      <c r="BK10" s="348"/>
      <c r="BL10" s="348"/>
      <c r="BM10" s="348"/>
      <c r="BN10" s="348"/>
      <c r="BO10" s="348"/>
      <c r="BP10" s="348"/>
      <c r="BQ10" s="348"/>
      <c r="BR10" s="348"/>
      <c r="BS10" s="348"/>
      <c r="BT10" s="348"/>
      <c r="BU10" s="348"/>
      <c r="BV10" s="348"/>
      <c r="BW10" s="348"/>
      <c r="BX10" s="348"/>
      <c r="BY10" s="348"/>
      <c r="BZ10" s="348"/>
      <c r="CA10" s="348"/>
    </row>
    <row r="11" spans="1:79" ht="125.25" customHeight="1" x14ac:dyDescent="0.25">
      <c r="A11" s="404"/>
      <c r="B11" s="405"/>
      <c r="C11" s="405"/>
      <c r="D11" s="406"/>
      <c r="E11" s="406"/>
      <c r="F11" s="406"/>
      <c r="G11" s="427"/>
      <c r="H11" s="406"/>
      <c r="I11" s="406"/>
      <c r="J11" s="406"/>
      <c r="K11" s="404"/>
      <c r="L11" s="408"/>
      <c r="M11" s="409"/>
      <c r="N11" s="410"/>
      <c r="O11" s="409">
        <f ca="1">IF(NOT(ISERROR(MATCH(N11,_xlfn.ANCHORARRAY(G22),0))),M24&amp;"Por favor no seleccionar los criterios de impacto",N11)</f>
        <v>0</v>
      </c>
      <c r="P11" s="408"/>
      <c r="Q11" s="409"/>
      <c r="R11" s="411"/>
      <c r="S11" s="412">
        <v>2</v>
      </c>
      <c r="T11" s="389" t="s">
        <v>554</v>
      </c>
      <c r="U11" s="414" t="s">
        <v>14</v>
      </c>
      <c r="V11" s="414" t="s">
        <v>9</v>
      </c>
      <c r="W11" s="391" t="str">
        <f t="shared" ref="W11:W15" si="10">IF(AND(U11="Preventivo",V11="Automático"),"50%",IF(AND(U11="Preventivo",V11="Manual"),"40%",IF(AND(U11="Detectivo",V11="Automático"),"40%",IF(AND(U11="Detectivo",V11="Manual"),"30%",IF(AND(U11="Correctivo",V11="Automático"),"35%",IF(AND(U11="Correctivo",V11="Manual"),"25%",""))))))</f>
        <v>40%</v>
      </c>
      <c r="X11" s="414" t="s">
        <v>19</v>
      </c>
      <c r="Y11" s="414" t="s">
        <v>23</v>
      </c>
      <c r="Z11" s="414" t="s">
        <v>117</v>
      </c>
      <c r="AA11" s="392">
        <f>IFERROR(IF(AND(AB10="Probabilidad",AB11="Probabilidad"),(AH10-(+AH10*W11)),IF(AB11="Probabilidad",(M10-(+M10*W11)),IF(AB11="Impacto",AH10,""))),"")</f>
        <v>0.216</v>
      </c>
      <c r="AB11" s="392" t="str">
        <f t="shared" si="2"/>
        <v>Probabilidad</v>
      </c>
      <c r="AC11" s="393" t="s">
        <v>268</v>
      </c>
      <c r="AD11" s="393" t="s">
        <v>257</v>
      </c>
      <c r="AE11" s="393" t="s">
        <v>258</v>
      </c>
      <c r="AF11" s="394" t="s">
        <v>248</v>
      </c>
      <c r="AG11" s="395" t="str">
        <f>IFERROR(IF(AA11="","",IF(AA11&lt;=0.2,"Muy Baja",IF(AA11&lt;=0.4,"Baja",IF(AA11&lt;=0.6,"Media",IF(AA11&lt;=0.8,"Alta","Muy Alta"))))),"")</f>
        <v>Baja</v>
      </c>
      <c r="AH11" s="396">
        <f t="shared" si="0"/>
        <v>0.216</v>
      </c>
      <c r="AI11" s="395" t="str">
        <f t="shared" ca="1" si="5"/>
        <v>Catastrófico</v>
      </c>
      <c r="AJ11" s="396">
        <f ca="1">IFERROR(IF(AND(AB10="Impacto",AB11="Impacto"),(AJ10-(+AJ10*W11)),IF(AB11="Impacto",($Q$10-(+$Q$10*AB11)),IF(AB11="Probabilidad",AJ10,""))),"")</f>
        <v>1</v>
      </c>
      <c r="AK11" s="397" t="str">
        <f ca="1">IFERROR(IF(OR(AND(AG11="Muy Baja",AI11="Leve"),AND(AG11="Muy Baja",AI11="Menor"),AND(AG11="Baja",AI11="Leve")),"Bajo",IF(OR(AND(AG11="Muy baja",AI11="Moderado"),AND(AG11="Baja",AI11="Menor"),AND(AG11="Baja",AI11="Moderado"),AND(AG11="Media",AI11="Leve"),AND(AG11="Media",AI11="Menor"),AND(AG11="Media",AI11="Moderado"),AND(AG11="Alta",AI11="Leve"),AND(AG11="Alta",AI11="Menor")),"Moderado",IF(OR(AND(AG11="Muy Baja",AI11="Mayor"),AND(AG11="Baja",AI11="Mayor"),AND(AG11="Media",AI11="Mayor"),AND(AG11="Alta",AI11="Moderado"),AND(AG11="Alta",AI11="Mayor"),AND(AG11="Muy Alta",AI11="Leve"),AND(AG11="Muy Alta",AI11="Menor"),AND(AG11="Muy Alta",AI11="Moderado"),AND(AG11="Muy Alta",AI11="Mayor")),"Alto",IF(OR(AND(AG11="Muy Baja",AI11="Catastrófico"),AND(AG11="Baja",AI11="Catastrófico"),AND(AG11="Media",AI11="Catastrófico"),AND(AG11="Alta",AI11="Catastrófico"),AND(AG11="Muy Alta",AI11="Catastrófico")),"Extremo","")))),"")</f>
        <v>Extremo</v>
      </c>
      <c r="AL11" s="398" t="s">
        <v>132</v>
      </c>
      <c r="AM11" s="399" t="s">
        <v>269</v>
      </c>
      <c r="AN11" s="399" t="s">
        <v>262</v>
      </c>
      <c r="AO11" s="400" t="s">
        <v>370</v>
      </c>
      <c r="AP11" s="400" t="s">
        <v>395</v>
      </c>
      <c r="AQ11" s="400" t="s">
        <v>397</v>
      </c>
      <c r="AR11" s="401">
        <v>44445</v>
      </c>
      <c r="AS11" s="401">
        <v>44536</v>
      </c>
      <c r="AT11" s="399" t="s">
        <v>263</v>
      </c>
      <c r="AU11" s="388" t="s">
        <v>41</v>
      </c>
      <c r="AV11" s="348"/>
      <c r="AW11" s="348"/>
      <c r="AX11" s="348"/>
      <c r="AY11" s="348"/>
      <c r="AZ11" s="348"/>
      <c r="BA11" s="348"/>
      <c r="BB11" s="348"/>
      <c r="BC11" s="348"/>
      <c r="BD11" s="348"/>
      <c r="BE11" s="348"/>
      <c r="BF11" s="348"/>
      <c r="BG11" s="348"/>
      <c r="BH11" s="348"/>
      <c r="BI11" s="348"/>
      <c r="BJ11" s="348"/>
      <c r="BK11" s="348"/>
      <c r="BL11" s="348"/>
      <c r="BM11" s="348"/>
      <c r="BN11" s="348"/>
      <c r="BO11" s="348"/>
      <c r="BP11" s="348"/>
      <c r="BQ11" s="348"/>
      <c r="BR11" s="348"/>
      <c r="BS11" s="348"/>
      <c r="BT11" s="348"/>
      <c r="BU11" s="348"/>
      <c r="BV11" s="348"/>
      <c r="BW11" s="348"/>
      <c r="BX11" s="348"/>
      <c r="BY11" s="348"/>
      <c r="BZ11" s="348"/>
      <c r="CA11" s="348"/>
    </row>
    <row r="12" spans="1:79" ht="45.75" customHeight="1" x14ac:dyDescent="0.25">
      <c r="A12" s="404"/>
      <c r="B12" s="405"/>
      <c r="C12" s="405"/>
      <c r="D12" s="406"/>
      <c r="E12" s="406"/>
      <c r="F12" s="406"/>
      <c r="G12" s="427"/>
      <c r="H12" s="406"/>
      <c r="I12" s="406"/>
      <c r="J12" s="406"/>
      <c r="K12" s="404"/>
      <c r="L12" s="408"/>
      <c r="M12" s="409"/>
      <c r="N12" s="410"/>
      <c r="O12" s="409">
        <f ca="1">IF(NOT(ISERROR(MATCH(N12,_xlfn.ANCHORARRAY(G23),0))),M25&amp;"Por favor no seleccionar los criterios de impacto",N12)</f>
        <v>0</v>
      </c>
      <c r="P12" s="408"/>
      <c r="Q12" s="409"/>
      <c r="R12" s="411"/>
      <c r="S12" s="412">
        <v>3</v>
      </c>
      <c r="T12" s="389"/>
      <c r="U12" s="414"/>
      <c r="V12" s="414"/>
      <c r="W12" s="413" t="str">
        <f t="shared" si="10"/>
        <v/>
      </c>
      <c r="X12" s="414"/>
      <c r="Y12" s="414"/>
      <c r="Z12" s="414"/>
      <c r="AA12" s="415" t="str">
        <f>IFERROR(IF(AND(AB11="Probabilidad",AB12="Probabilidad"),(AH11-(+AH11*W12)),IF(AND(AB11="Impacto",AB12="Probabilidad"),(W11-(+W11*W12)),IF(AB12="Impacto",AB11,""))),"")</f>
        <v/>
      </c>
      <c r="AB12" s="392" t="str">
        <f t="shared" si="2"/>
        <v/>
      </c>
      <c r="AC12" s="393"/>
      <c r="AD12" s="393"/>
      <c r="AE12" s="393"/>
      <c r="AF12" s="394"/>
      <c r="AG12" s="395" t="str">
        <f>IFERROR(IF(AA12="","",IF(AA12&lt;=0.2,"Muy Baja",IF(AA12&lt;=0.4,"Baja",IF(AA12&lt;=0.6,"Media",IF(AA12&lt;=0.8,"Alta","Muy Alta"))))),"")</f>
        <v/>
      </c>
      <c r="AH12" s="416" t="str">
        <f t="shared" si="0"/>
        <v/>
      </c>
      <c r="AI12" s="395" t="str">
        <f t="shared" si="5"/>
        <v/>
      </c>
      <c r="AJ12" s="396" t="str">
        <f>IFERROR(IF(AND(AB11="Impacto",AB12="Impacto"),(AJ11-(+AJ11*W12)),IF(AND(AB11="Probabilidad",AB12="Impacto"),(AJ10-(+AJ10*W12)),IF(AB12="Probabilidad",AJ11,""))),"")</f>
        <v/>
      </c>
      <c r="AK12" s="397" t="str">
        <f>IFERROR(IF(OR(AND(AG12="Muy Baja",AI12="Leve"),AND(AG12="Muy Baja",AI12="Menor"),AND(AG12="Baja",AI12="Leve")),"Bajo",IF(OR(AND(AG12="Muy baja",AI12="Moderado"),AND(AG12="Baja",AI12="Menor"),AND(AG12="Baja",AI12="Moderado"),AND(AG12="Media",AI12="Leve"),AND(AG12="Media",AI12="Menor"),AND(AG12="Media",AI12="Moderado"),AND(AG12="Alta",AI12="Leve"),AND(AG12="Alta",AI12="Menor")),"Moderado",IF(OR(AND(AG12="Muy Baja",AI12="Mayor"),AND(AG12="Baja",AI12="Mayor"),AND(AG12="Media",AI12="Mayor"),AND(AG12="Alta",AI12="Moderado"),AND(AG12="Alta",AI12="Mayor"),AND(AG12="Muy Alta",AI12="Leve"),AND(AG12="Muy Alta",AI12="Menor"),AND(AG12="Muy Alta",AI12="Moderado"),AND(AG12="Muy Alta",AI12="Mayor")),"Alto",IF(OR(AND(AG12="Muy Baja",AI12="Catastrófico"),AND(AG12="Baja",AI12="Catastrófico"),AND(AG12="Media",AI12="Catastrófico"),AND(AG12="Alta",AI12="Catastrófico"),AND(AG12="Muy Alta",AI12="Catastrófico")),"Extremo","")))),"")</f>
        <v/>
      </c>
      <c r="AL12" s="398"/>
      <c r="AM12" s="399"/>
      <c r="AN12" s="399"/>
      <c r="AO12" s="400"/>
      <c r="AP12" s="400"/>
      <c r="AQ12" s="400"/>
      <c r="AR12" s="401"/>
      <c r="AS12" s="401"/>
      <c r="AT12" s="399"/>
      <c r="AU12" s="388"/>
      <c r="AV12" s="348"/>
      <c r="AW12" s="348"/>
      <c r="AX12" s="348"/>
      <c r="AY12" s="348"/>
      <c r="AZ12" s="348"/>
      <c r="BA12" s="348"/>
      <c r="BB12" s="348"/>
      <c r="BC12" s="348"/>
      <c r="BD12" s="348"/>
      <c r="BE12" s="348"/>
      <c r="BF12" s="348"/>
      <c r="BG12" s="348"/>
      <c r="BH12" s="348"/>
      <c r="BI12" s="348"/>
      <c r="BJ12" s="348"/>
      <c r="BK12" s="348"/>
      <c r="BL12" s="348"/>
      <c r="BM12" s="348"/>
      <c r="BN12" s="348"/>
      <c r="BO12" s="348"/>
      <c r="BP12" s="348"/>
      <c r="BQ12" s="348"/>
      <c r="BR12" s="348"/>
      <c r="BS12" s="348"/>
      <c r="BT12" s="348"/>
      <c r="BU12" s="348"/>
      <c r="BV12" s="348"/>
      <c r="BW12" s="348"/>
      <c r="BX12" s="348"/>
      <c r="BY12" s="348"/>
      <c r="BZ12" s="348"/>
      <c r="CA12" s="348"/>
    </row>
    <row r="13" spans="1:79" ht="45.75" customHeight="1" x14ac:dyDescent="0.25">
      <c r="A13" s="404"/>
      <c r="B13" s="405"/>
      <c r="C13" s="405"/>
      <c r="D13" s="406"/>
      <c r="E13" s="406"/>
      <c r="F13" s="406"/>
      <c r="G13" s="427"/>
      <c r="H13" s="406"/>
      <c r="I13" s="406"/>
      <c r="J13" s="406"/>
      <c r="K13" s="404"/>
      <c r="L13" s="408"/>
      <c r="M13" s="409"/>
      <c r="N13" s="410"/>
      <c r="O13" s="409">
        <f ca="1">IF(NOT(ISERROR(MATCH(N13,_xlfn.ANCHORARRAY(G24),0))),M26&amp;"Por favor no seleccionar los criterios de impacto",N13)</f>
        <v>0</v>
      </c>
      <c r="P13" s="408"/>
      <c r="Q13" s="409"/>
      <c r="R13" s="411"/>
      <c r="S13" s="412">
        <v>4</v>
      </c>
      <c r="T13" s="389"/>
      <c r="U13" s="414"/>
      <c r="V13" s="414"/>
      <c r="W13" s="413" t="str">
        <f t="shared" si="10"/>
        <v/>
      </c>
      <c r="X13" s="414"/>
      <c r="Y13" s="414"/>
      <c r="Z13" s="414"/>
      <c r="AA13" s="415" t="str">
        <f>IFERROR(IF(AND(AB12="Probabilidad",AB13="Probabilidad"),(AH12-(+AH12*W13)),IF(AND(AB12="Impacto",AB13="Probabilidad"),(W12-(+W12*W13)),IF(AB13="Impacto",AB12,""))),"")</f>
        <v/>
      </c>
      <c r="AB13" s="392" t="str">
        <f t="shared" si="2"/>
        <v/>
      </c>
      <c r="AC13" s="393"/>
      <c r="AD13" s="393"/>
      <c r="AE13" s="393"/>
      <c r="AF13" s="394"/>
      <c r="AG13" s="417" t="str">
        <f>IFERROR(IF(AA13="","",IF(AA13&lt;=0.2,"Muy Baja",IF(AA13&lt;=0.4,"Baja",IF(AA13&lt;=0.6,"Media",IF(AA13&lt;=0.8,"Alta","Muy Alta"))))),"")</f>
        <v/>
      </c>
      <c r="AH13" s="416" t="str">
        <f t="shared" si="0"/>
        <v/>
      </c>
      <c r="AI13" s="395" t="str">
        <f t="shared" si="5"/>
        <v/>
      </c>
      <c r="AJ13" s="396" t="str">
        <f>IFERROR(IF(AND(AB12="Impacto",AB13="Impacto"),(AJ12-(+AJ12*W13)),IF(AND(AB12="Probabilidad",AB13="Impacto"),(AJ11-(+AJ11*W13)),IF(AB13="Probabilidad",AJ12,""))),"")</f>
        <v/>
      </c>
      <c r="AK13" s="397" t="str">
        <f t="shared" ref="AK13:AK15" si="11">IFERROR(IF(OR(AND(AG13="Muy Baja",AI13="Leve"),AND(AG13="Muy Baja",AI13="Menor"),AND(AG13="Baja",AI13="Leve")),"Bajo",IF(OR(AND(AG13="Muy baja",AI13="Moderado"),AND(AG13="Baja",AI13="Menor"),AND(AG13="Baja",AI13="Moderado"),AND(AG13="Media",AI13="Leve"),AND(AG13="Media",AI13="Menor"),AND(AG13="Media",AI13="Moderado"),AND(AG13="Alta",AI13="Leve"),AND(AG13="Alta",AI13="Menor")),"Moderado",IF(OR(AND(AG13="Muy Baja",AI13="Mayor"),AND(AG13="Baja",AI13="Mayor"),AND(AG13="Media",AI13="Mayor"),AND(AG13="Alta",AI13="Moderado"),AND(AG13="Alta",AI13="Mayor"),AND(AG13="Muy Alta",AI13="Leve"),AND(AG13="Muy Alta",AI13="Menor"),AND(AG13="Muy Alta",AI13="Moderado"),AND(AG13="Muy Alta",AI13="Mayor")),"Alto",IF(OR(AND(AG13="Muy Baja",AI13="Catastrófico"),AND(AG13="Baja",AI13="Catastrófico"),AND(AG13="Media",AI13="Catastrófico"),AND(AG13="Alta",AI13="Catastrófico"),AND(AG13="Muy Alta",AI13="Catastrófico")),"Extremo","")))),"")</f>
        <v/>
      </c>
      <c r="AL13" s="398"/>
      <c r="AM13" s="399"/>
      <c r="AN13" s="399"/>
      <c r="AO13" s="400"/>
      <c r="AP13" s="400"/>
      <c r="AQ13" s="400"/>
      <c r="AR13" s="401"/>
      <c r="AS13" s="401"/>
      <c r="AT13" s="399"/>
      <c r="AU13" s="388"/>
      <c r="AV13" s="348"/>
      <c r="AW13" s="348"/>
      <c r="AX13" s="348"/>
      <c r="AY13" s="348"/>
      <c r="AZ13" s="348"/>
      <c r="BA13" s="348"/>
      <c r="BB13" s="348"/>
      <c r="BC13" s="348"/>
      <c r="BD13" s="348"/>
      <c r="BE13" s="348"/>
      <c r="BF13" s="348"/>
      <c r="BG13" s="348"/>
      <c r="BH13" s="348"/>
      <c r="BI13" s="348"/>
      <c r="BJ13" s="348"/>
      <c r="BK13" s="348"/>
      <c r="BL13" s="348"/>
      <c r="BM13" s="348"/>
      <c r="BN13" s="348"/>
      <c r="BO13" s="348"/>
      <c r="BP13" s="348"/>
      <c r="BQ13" s="348"/>
      <c r="BR13" s="348"/>
      <c r="BS13" s="348"/>
      <c r="BT13" s="348"/>
      <c r="BU13" s="348"/>
      <c r="BV13" s="348"/>
      <c r="BW13" s="348"/>
      <c r="BX13" s="348"/>
      <c r="BY13" s="348"/>
      <c r="BZ13" s="348"/>
      <c r="CA13" s="348"/>
    </row>
    <row r="14" spans="1:79" ht="45.75" customHeight="1" x14ac:dyDescent="0.25">
      <c r="A14" s="404"/>
      <c r="B14" s="405"/>
      <c r="C14" s="405"/>
      <c r="D14" s="406"/>
      <c r="E14" s="406"/>
      <c r="F14" s="406"/>
      <c r="G14" s="427"/>
      <c r="H14" s="406"/>
      <c r="I14" s="406"/>
      <c r="J14" s="406"/>
      <c r="K14" s="404"/>
      <c r="L14" s="408"/>
      <c r="M14" s="409"/>
      <c r="N14" s="410"/>
      <c r="O14" s="409">
        <f ca="1">IF(NOT(ISERROR(MATCH(N14,_xlfn.ANCHORARRAY(G25),0))),M27&amp;"Por favor no seleccionar los criterios de impacto",N14)</f>
        <v>0</v>
      </c>
      <c r="P14" s="408"/>
      <c r="Q14" s="409"/>
      <c r="R14" s="411"/>
      <c r="S14" s="412">
        <v>5</v>
      </c>
      <c r="T14" s="389"/>
      <c r="U14" s="414"/>
      <c r="V14" s="414"/>
      <c r="W14" s="413" t="str">
        <f t="shared" si="10"/>
        <v/>
      </c>
      <c r="X14" s="414"/>
      <c r="Y14" s="414"/>
      <c r="Z14" s="414"/>
      <c r="AA14" s="415" t="str">
        <f>IFERROR(IF(AND(AB13="Probabilidad",AB14="Probabilidad"),(AH13-(+AH13*W14)),IF(AND(AB13="Impacto",AB14="Probabilidad"),(W13-(+W13*W14)),IF(AB14="Impacto",AB13,""))),"")</f>
        <v/>
      </c>
      <c r="AB14" s="392" t="str">
        <f t="shared" si="2"/>
        <v/>
      </c>
      <c r="AC14" s="393"/>
      <c r="AD14" s="393"/>
      <c r="AE14" s="393"/>
      <c r="AF14" s="394"/>
      <c r="AG14" s="417" t="str">
        <f t="shared" ref="AG14:AG15" si="12">IFERROR(IF(AA14="","",IF(AA14&lt;=0.2,"Muy Baja",IF(AA14&lt;=0.4,"Baja",IF(AA14&lt;=0.6,"Media",IF(AA14&lt;=0.8,"Alta","Muy Alta"))))),"")</f>
        <v/>
      </c>
      <c r="AH14" s="416" t="str">
        <f t="shared" si="0"/>
        <v/>
      </c>
      <c r="AI14" s="395" t="str">
        <f t="shared" si="5"/>
        <v/>
      </c>
      <c r="AJ14" s="396" t="str">
        <f>IFERROR(IF(AND(AB13="Impacto",AB14="Impacto"),(AJ13-(+AJ13*W14)),IF(AND(AB13="Probabilidad",AB14="Impacto"),(AJ12-(+AJ12*W14)),IF(AB14="Probabilidad",AJ13,""))),"")</f>
        <v/>
      </c>
      <c r="AK14" s="397" t="str">
        <f t="shared" si="11"/>
        <v/>
      </c>
      <c r="AL14" s="398"/>
      <c r="AM14" s="399"/>
      <c r="AN14" s="399"/>
      <c r="AO14" s="400"/>
      <c r="AP14" s="400"/>
      <c r="AQ14" s="400"/>
      <c r="AR14" s="401"/>
      <c r="AS14" s="401"/>
      <c r="AT14" s="399"/>
      <c r="AU14" s="388"/>
      <c r="AV14" s="348"/>
      <c r="AW14" s="348"/>
      <c r="AX14" s="348"/>
      <c r="AY14" s="348"/>
      <c r="AZ14" s="348"/>
      <c r="BA14" s="348"/>
      <c r="BB14" s="348"/>
      <c r="BC14" s="348"/>
      <c r="BD14" s="348"/>
      <c r="BE14" s="348"/>
      <c r="BF14" s="348"/>
      <c r="BG14" s="348"/>
      <c r="BH14" s="348"/>
      <c r="BI14" s="348"/>
      <c r="BJ14" s="348"/>
      <c r="BK14" s="348"/>
      <c r="BL14" s="348"/>
      <c r="BM14" s="348"/>
      <c r="BN14" s="348"/>
      <c r="BO14" s="348"/>
      <c r="BP14" s="348"/>
      <c r="BQ14" s="348"/>
      <c r="BR14" s="348"/>
      <c r="BS14" s="348"/>
      <c r="BT14" s="348"/>
      <c r="BU14" s="348"/>
      <c r="BV14" s="348"/>
      <c r="BW14" s="348"/>
      <c r="BX14" s="348"/>
      <c r="BY14" s="348"/>
      <c r="BZ14" s="348"/>
      <c r="CA14" s="348"/>
    </row>
    <row r="15" spans="1:79" ht="45.75" customHeight="1" x14ac:dyDescent="0.25">
      <c r="A15" s="418"/>
      <c r="B15" s="419"/>
      <c r="C15" s="419"/>
      <c r="D15" s="420"/>
      <c r="E15" s="420"/>
      <c r="F15" s="420"/>
      <c r="G15" s="428"/>
      <c r="H15" s="420"/>
      <c r="I15" s="420"/>
      <c r="J15" s="420"/>
      <c r="K15" s="418"/>
      <c r="L15" s="422"/>
      <c r="M15" s="423"/>
      <c r="N15" s="424"/>
      <c r="O15" s="423">
        <f ca="1">IF(NOT(ISERROR(MATCH(N15,_xlfn.ANCHORARRAY(G26),0))),M28&amp;"Por favor no seleccionar los criterios de impacto",N15)</f>
        <v>0</v>
      </c>
      <c r="P15" s="422"/>
      <c r="Q15" s="423"/>
      <c r="R15" s="425"/>
      <c r="S15" s="412">
        <v>6</v>
      </c>
      <c r="T15" s="389"/>
      <c r="U15" s="414"/>
      <c r="V15" s="414"/>
      <c r="W15" s="413" t="str">
        <f t="shared" si="10"/>
        <v/>
      </c>
      <c r="X15" s="414"/>
      <c r="Y15" s="414"/>
      <c r="Z15" s="414"/>
      <c r="AA15" s="415" t="str">
        <f>IFERROR(IF(AND(AB14="Probabilidad",AB15="Probabilidad"),(AH14-(+AH14*W15)),IF(AND(AB14="Impacto",AB15="Probabilidad"),(W14-(+W14*W15)),IF(AB15="Impacto",AB14,""))),"")</f>
        <v/>
      </c>
      <c r="AB15" s="392" t="str">
        <f t="shared" si="2"/>
        <v/>
      </c>
      <c r="AC15" s="393"/>
      <c r="AD15" s="393"/>
      <c r="AE15" s="393"/>
      <c r="AF15" s="394"/>
      <c r="AG15" s="417" t="str">
        <f t="shared" si="12"/>
        <v/>
      </c>
      <c r="AH15" s="416" t="str">
        <f t="shared" si="0"/>
        <v/>
      </c>
      <c r="AI15" s="395" t="str">
        <f t="shared" si="5"/>
        <v/>
      </c>
      <c r="AJ15" s="396" t="str">
        <f>IFERROR(IF(AND(AB14="Impacto",AB15="Impacto"),(AJ14-(+AJ14*W15)),IF(AND(AB14="Probabilidad",AB15="Impacto"),(AJ13-(+AJ13*W15)),IF(AB15="Probabilidad",AJ14,""))),"")</f>
        <v/>
      </c>
      <c r="AK15" s="397" t="str">
        <f t="shared" si="11"/>
        <v/>
      </c>
      <c r="AL15" s="398"/>
      <c r="AM15" s="399"/>
      <c r="AN15" s="399"/>
      <c r="AO15" s="400"/>
      <c r="AP15" s="400"/>
      <c r="AQ15" s="400"/>
      <c r="AR15" s="401"/>
      <c r="AS15" s="401"/>
      <c r="AT15" s="399"/>
      <c r="AU15" s="388"/>
      <c r="AV15" s="348"/>
      <c r="AW15" s="348"/>
      <c r="AX15" s="348"/>
      <c r="AY15" s="348"/>
      <c r="AZ15" s="348"/>
      <c r="BA15" s="348"/>
      <c r="BB15" s="348"/>
      <c r="BC15" s="348"/>
      <c r="BD15" s="348"/>
      <c r="BE15" s="348"/>
      <c r="BF15" s="348"/>
      <c r="BG15" s="348"/>
      <c r="BH15" s="348"/>
      <c r="BI15" s="348"/>
      <c r="BJ15" s="348"/>
      <c r="BK15" s="348"/>
      <c r="BL15" s="348"/>
      <c r="BM15" s="348"/>
      <c r="BN15" s="348"/>
      <c r="BO15" s="348"/>
      <c r="BP15" s="348"/>
      <c r="BQ15" s="348"/>
      <c r="BR15" s="348"/>
      <c r="BS15" s="348"/>
      <c r="BT15" s="348"/>
      <c r="BU15" s="348"/>
      <c r="BV15" s="348"/>
      <c r="BW15" s="348"/>
      <c r="BX15" s="348"/>
      <c r="BY15" s="348"/>
      <c r="BZ15" s="348"/>
      <c r="CA15" s="348"/>
    </row>
    <row r="16" spans="1:79" ht="94.5" customHeight="1" x14ac:dyDescent="0.25">
      <c r="A16" s="380">
        <v>3</v>
      </c>
      <c r="B16" s="381" t="s">
        <v>337</v>
      </c>
      <c r="C16" s="381" t="s">
        <v>212</v>
      </c>
      <c r="D16" s="382" t="s">
        <v>128</v>
      </c>
      <c r="E16" s="382" t="s">
        <v>271</v>
      </c>
      <c r="F16" s="382" t="s">
        <v>272</v>
      </c>
      <c r="G16" s="383" t="s">
        <v>273</v>
      </c>
      <c r="H16" s="382" t="s">
        <v>126</v>
      </c>
      <c r="I16" s="382" t="s">
        <v>239</v>
      </c>
      <c r="J16" s="382" t="s">
        <v>274</v>
      </c>
      <c r="K16" s="380" t="s">
        <v>102</v>
      </c>
      <c r="L16" s="384" t="str">
        <f>IF(K16&lt;=0,"",IF(K16&lt;="La actividad que conlleva el riesgo se ejecuta como máximos 2 veces por año","Muy Baja",IF(K16="La actividad que conlleva el riesgo se ejecuta de 3 a 24 veces por año","Baja",IF(K16="La actividad que conlleva el riesgo se ejecuta de 24 a 500 veces por año","Media",IF(K16="La actividad que conlleva el riesgo se ejecuta mínimo 500 veces al año y máximo 5000 veces por año","Alta","Muy Alta")))))</f>
        <v>Media</v>
      </c>
      <c r="M16" s="385">
        <f>IF(L16="","",IF(L16="Muy Baja",0.2,IF(L16="Baja",0.4,IF(L16="Media",0.6,IF(L16="Alta",0.8,IF(L16="Muy Alta",1,))))))</f>
        <v>0.6</v>
      </c>
      <c r="N16" s="386" t="s">
        <v>149</v>
      </c>
      <c r="O16" s="385" t="str">
        <f ca="1">IF(NOT(ISERROR(MATCH(N16,'Tabla Impacto'!$B$221:$B$223,0))),'Tabla Impacto'!$F$223&amp;"Por favor no seleccionar los criterios de impacto(Afectación Económica o presupuestal y Pérdida Reputacional)",N16)</f>
        <v xml:space="preserve">     El riesgo afecta la imagen de la entidad con algunos usuarios de relevancia frente al logro de los objetivos</v>
      </c>
      <c r="P16" s="384" t="str">
        <f ca="1">IF(OR(O16='Tabla Impacto'!$C$11,O16='Tabla Impacto'!$D$11),"Leve",IF(OR(O16='Tabla Impacto'!$C$12,O16='Tabla Impacto'!$D$12),"Menor",IF(OR(O16='Tabla Impacto'!$C$13,O16='Tabla Impacto'!$D$13),"Moderado",IF(OR(O16='Tabla Impacto'!$C$14,O16='Tabla Impacto'!$D$14),"Mayor",IF(OR(O16='Tabla Impacto'!$C$15,O16='Tabla Impacto'!$D$15),"Catastrófico","")))))</f>
        <v>Moderado</v>
      </c>
      <c r="Q16" s="385">
        <f ca="1">IF(P16="","",IF(P16="Leve",0.2,IF(P16="Menor",0.4,IF(P16="Moderado",0.6,IF(P16="Mayor",0.8,IF(P16="Catastrófico",1,))))))</f>
        <v>0.6</v>
      </c>
      <c r="R16" s="387" t="str">
        <f ca="1">IF(OR(AND(L16="Muy Baja",P16="Leve"),AND(L16="Muy Baja",P16="Menor"),AND(L16="Baja",P16="Leve")),"Bajo",IF(OR(AND(L16="Muy baja",P16="Moderado"),AND(L16="Baja",P16="Menor"),AND(L16="Baja",P16="Moderado"),AND(L16="Media",P16="Leve"),AND(L16="Media",P16="Menor"),AND(L16="Media",P16="Moderado"),AND(L16="Alta",P16="Leve"),AND(L16="Alta",P16="Menor")),"Moderado",IF(OR(AND(L16="Muy Baja",P16="Mayor"),AND(L16="Baja",P16="Mayor"),AND(L16="Media",P16="Mayor"),AND(L16="Alta",P16="Moderado"),AND(L16="Alta",P16="Mayor"),AND(L16="Muy Alta",P16="Leve"),AND(L16="Muy Alta",P16="Menor"),AND(L16="Muy Alta",P16="Moderado"),AND(L16="Muy Alta",P16="Mayor")),"Alto",IF(OR(AND(L16="Muy Baja",P16="Catastrófico"),AND(L16="Baja",P16="Catastrófico"),AND(L16="Media",P16="Catastrófico"),AND(L16="Alta",P16="Catastrófico"),AND(L16="Muy Alta",P16="Catastrófico")),"Extremo",""))))</f>
        <v>Moderado</v>
      </c>
      <c r="S16" s="412">
        <v>1</v>
      </c>
      <c r="T16" s="389" t="s">
        <v>275</v>
      </c>
      <c r="U16" s="390" t="s">
        <v>14</v>
      </c>
      <c r="V16" s="390" t="s">
        <v>9</v>
      </c>
      <c r="W16" s="391" t="str">
        <f>IF(AND(U16="Preventivo",V16="Automático"),"50%",IF(AND(U16="Preventivo",V16="Manual"),"40%",IF(AND(U16="Detectivo",V16="Automático"),"40%",IF(AND(U16="Detectivo",V16="Manual"),"30%",IF(AND(U16="Correctivo",V16="Automático"),"35%",IF(AND(U16="Correctivo",V16="Manual"),"25%",""))))))</f>
        <v>40%</v>
      </c>
      <c r="X16" s="390" t="s">
        <v>20</v>
      </c>
      <c r="Y16" s="390" t="s">
        <v>22</v>
      </c>
      <c r="Z16" s="390" t="s">
        <v>117</v>
      </c>
      <c r="AA16" s="392">
        <f>IFERROR(IF(AB16="Probabilidad",(M16-(+M16*W16)),IF(AB16="Impacto",M16,"")),"")</f>
        <v>0.36</v>
      </c>
      <c r="AB16" s="392" t="str">
        <f t="shared" si="2"/>
        <v>Probabilidad</v>
      </c>
      <c r="AC16" s="393" t="s">
        <v>277</v>
      </c>
      <c r="AD16" s="393" t="s">
        <v>279</v>
      </c>
      <c r="AE16" s="429">
        <v>44197</v>
      </c>
      <c r="AF16" s="394" t="s">
        <v>248</v>
      </c>
      <c r="AG16" s="395" t="str">
        <f t="shared" si="8"/>
        <v>Baja</v>
      </c>
      <c r="AH16" s="396">
        <f t="shared" ref="AH16:AH35" si="13">+AA16</f>
        <v>0.36</v>
      </c>
      <c r="AI16" s="395" t="str">
        <f t="shared" ca="1" si="5"/>
        <v>Moderado</v>
      </c>
      <c r="AJ16" s="396">
        <f ca="1">IFERROR(IF(AB16="Impacto",(Q16-(+Q16*W16)),IF(AB16="Probabilidad",Q16,"")),"")</f>
        <v>0.6</v>
      </c>
      <c r="AK16" s="397" t="str">
        <f ca="1">IFERROR(IF(OR(AND(AG16="Muy Baja",AI16="Leve"),AND(AG16="Muy Baja",AI16="Menor"),AND(AG16="Baja",AI16="Leve")),"Bajo",IF(OR(AND(AG16="Muy baja",AI16="Moderado"),AND(AG16="Baja",AI16="Menor"),AND(AG16="Baja",AI16="Moderado"),AND(AG16="Media",AI16="Leve"),AND(AG16="Media",AI16="Menor"),AND(AG16="Media",AI16="Moderado"),AND(AG16="Alta",AI16="Leve"),AND(AG16="Alta",AI16="Menor")),"Moderado",IF(OR(AND(AG16="Muy Baja",AI16="Mayor"),AND(AG16="Baja",AI16="Mayor"),AND(AG16="Media",AI16="Mayor"),AND(AG16="Alta",AI16="Moderado"),AND(AG16="Alta",AI16="Mayor"),AND(AG16="Muy Alta",AI16="Leve"),AND(AG16="Muy Alta",AI16="Menor"),AND(AG16="Muy Alta",AI16="Moderado"),AND(AG16="Muy Alta",AI16="Mayor")),"Alto",IF(OR(AND(AG16="Muy Baja",AI16="Catastrófico"),AND(AG16="Baja",AI16="Catastrófico"),AND(AG16="Media",AI16="Catastrófico"),AND(AG16="Alta",AI16="Catastrófico"),AND(AG16="Muy Alta",AI16="Catastrófico")),"Extremo","")))),"")</f>
        <v>Moderado</v>
      </c>
      <c r="AL16" s="398" t="s">
        <v>132</v>
      </c>
      <c r="AM16" s="399" t="s">
        <v>338</v>
      </c>
      <c r="AN16" s="399" t="s">
        <v>280</v>
      </c>
      <c r="AO16" s="400" t="s">
        <v>372</v>
      </c>
      <c r="AP16" s="400" t="s">
        <v>416</v>
      </c>
      <c r="AQ16" s="400" t="s">
        <v>419</v>
      </c>
      <c r="AR16" s="401">
        <v>44501</v>
      </c>
      <c r="AS16" s="401">
        <v>44531</v>
      </c>
      <c r="AT16" s="399" t="s">
        <v>281</v>
      </c>
      <c r="AU16" s="388" t="s">
        <v>41</v>
      </c>
      <c r="AV16" s="348"/>
      <c r="AW16" s="348"/>
      <c r="AX16" s="348"/>
      <c r="AY16" s="348"/>
      <c r="AZ16" s="348"/>
      <c r="BA16" s="348"/>
      <c r="BB16" s="348"/>
      <c r="BC16" s="348"/>
      <c r="BD16" s="348"/>
      <c r="BE16" s="348"/>
      <c r="BF16" s="348"/>
      <c r="BG16" s="348"/>
      <c r="BH16" s="348"/>
      <c r="BI16" s="348"/>
      <c r="BJ16" s="348"/>
      <c r="BK16" s="348"/>
      <c r="BL16" s="348"/>
      <c r="BM16" s="348"/>
      <c r="BN16" s="348"/>
      <c r="BO16" s="348"/>
      <c r="BP16" s="348"/>
      <c r="BQ16" s="348"/>
      <c r="BR16" s="348"/>
      <c r="BS16" s="348"/>
      <c r="BT16" s="348"/>
      <c r="BU16" s="348"/>
      <c r="BV16" s="348"/>
      <c r="BW16" s="348"/>
      <c r="BX16" s="348"/>
      <c r="BY16" s="348"/>
      <c r="BZ16" s="348"/>
      <c r="CA16" s="348"/>
    </row>
    <row r="17" spans="1:79" ht="45.75" customHeight="1" x14ac:dyDescent="0.25">
      <c r="A17" s="404"/>
      <c r="B17" s="405"/>
      <c r="C17" s="405"/>
      <c r="D17" s="406"/>
      <c r="E17" s="406"/>
      <c r="F17" s="406"/>
      <c r="G17" s="407"/>
      <c r="H17" s="406"/>
      <c r="I17" s="406"/>
      <c r="J17" s="406"/>
      <c r="K17" s="404"/>
      <c r="L17" s="408"/>
      <c r="M17" s="409"/>
      <c r="N17" s="410"/>
      <c r="O17" s="409">
        <f t="shared" ref="O17:O21" ca="1" si="14">IF(NOT(ISERROR(MATCH(N17,_xlfn.ANCHORARRAY(G28),0))),M30&amp;"Por favor no seleccionar los criterios de impacto",N17)</f>
        <v>0</v>
      </c>
      <c r="P17" s="408"/>
      <c r="Q17" s="409"/>
      <c r="R17" s="411"/>
      <c r="S17" s="412">
        <v>2</v>
      </c>
      <c r="T17" s="389" t="s">
        <v>276</v>
      </c>
      <c r="U17" s="414" t="s">
        <v>14</v>
      </c>
      <c r="V17" s="414" t="s">
        <v>9</v>
      </c>
      <c r="W17" s="391" t="str">
        <f t="shared" ref="W17:W21" si="15">IF(AND(U17="Preventivo",V17="Automático"),"50%",IF(AND(U17="Preventivo",V17="Manual"),"40%",IF(AND(U17="Detectivo",V17="Automático"),"40%",IF(AND(U17="Detectivo",V17="Manual"),"30%",IF(AND(U17="Correctivo",V17="Automático"),"35%",IF(AND(U17="Correctivo",V17="Manual"),"25%",""))))))</f>
        <v>40%</v>
      </c>
      <c r="X17" s="414" t="s">
        <v>20</v>
      </c>
      <c r="Y17" s="414" t="s">
        <v>22</v>
      </c>
      <c r="Z17" s="414" t="s">
        <v>117</v>
      </c>
      <c r="AA17" s="392">
        <f>IFERROR(IF(AND(AB16="Probabilidad",AB17="Probabilidad"),(AH16-(+AH16*W17)),IF(AB17="Probabilidad",(M16-(+M16*W17)),IF(AB17="Impacto",AH16,""))),"")</f>
        <v>0.216</v>
      </c>
      <c r="AB17" s="392" t="str">
        <f t="shared" si="2"/>
        <v>Probabilidad</v>
      </c>
      <c r="AC17" s="393" t="s">
        <v>278</v>
      </c>
      <c r="AD17" s="393" t="s">
        <v>279</v>
      </c>
      <c r="AE17" s="429">
        <v>44409</v>
      </c>
      <c r="AF17" s="394" t="s">
        <v>248</v>
      </c>
      <c r="AG17" s="395" t="str">
        <f t="shared" si="8"/>
        <v>Baja</v>
      </c>
      <c r="AH17" s="396">
        <f t="shared" si="13"/>
        <v>0.216</v>
      </c>
      <c r="AI17" s="395" t="str">
        <f t="shared" ca="1" si="5"/>
        <v>Moderado</v>
      </c>
      <c r="AJ17" s="396">
        <f ca="1">IFERROR(IF(AND(AB16="Impacto",AB17="Impacto"),(AJ16-(+AJ16*W17)),IF(AB17="Impacto",($Q$10-(+$Q$10*AB17)),IF(AB17="Probabilidad",AJ16,""))),"")</f>
        <v>0.6</v>
      </c>
      <c r="AK17" s="397" t="str">
        <f ca="1">IFERROR(IF(OR(AND(AG17="Muy Baja",AI17="Leve"),AND(AG17="Muy Baja",AI17="Menor"),AND(AG17="Baja",AI17="Leve")),"Bajo",IF(OR(AND(AG17="Muy baja",AI17="Moderado"),AND(AG17="Baja",AI17="Menor"),AND(AG17="Baja",AI17="Moderado"),AND(AG17="Media",AI17="Leve"),AND(AG17="Media",AI17="Menor"),AND(AG17="Media",AI17="Moderado"),AND(AG17="Alta",AI17="Leve"),AND(AG17="Alta",AI17="Menor")),"Moderado",IF(OR(AND(AG17="Muy Baja",AI17="Mayor"),AND(AG17="Baja",AI17="Mayor"),AND(AG17="Media",AI17="Mayor"),AND(AG17="Alta",AI17="Moderado"),AND(AG17="Alta",AI17="Mayor"),AND(AG17="Muy Alta",AI17="Leve"),AND(AG17="Muy Alta",AI17="Menor"),AND(AG17="Muy Alta",AI17="Moderado"),AND(AG17="Muy Alta",AI17="Mayor")),"Alto",IF(OR(AND(AG17="Muy Baja",AI17="Catastrófico"),AND(AG17="Baja",AI17="Catastrófico"),AND(AG17="Media",AI17="Catastrófico"),AND(AG17="Alta",AI17="Catastrófico"),AND(AG17="Muy Alta",AI17="Catastrófico")),"Extremo","")))),"")</f>
        <v>Moderado</v>
      </c>
      <c r="AL17" s="398" t="s">
        <v>132</v>
      </c>
      <c r="AM17" s="399" t="s">
        <v>338</v>
      </c>
      <c r="AN17" s="399" t="s">
        <v>280</v>
      </c>
      <c r="AO17" s="400" t="s">
        <v>372</v>
      </c>
      <c r="AP17" s="400" t="s">
        <v>416</v>
      </c>
      <c r="AQ17" s="400" t="s">
        <v>419</v>
      </c>
      <c r="AR17" s="401">
        <v>44501</v>
      </c>
      <c r="AS17" s="401">
        <v>44531</v>
      </c>
      <c r="AT17" s="399" t="s">
        <v>281</v>
      </c>
      <c r="AU17" s="388" t="s">
        <v>41</v>
      </c>
      <c r="AV17" s="348"/>
      <c r="AW17" s="348"/>
      <c r="AX17" s="348"/>
      <c r="AY17" s="348"/>
      <c r="AZ17" s="348"/>
      <c r="BA17" s="348"/>
      <c r="BB17" s="348"/>
      <c r="BC17" s="348"/>
      <c r="BD17" s="348"/>
      <c r="BE17" s="348"/>
      <c r="BF17" s="348"/>
      <c r="BG17" s="348"/>
      <c r="BH17" s="348"/>
      <c r="BI17" s="348"/>
      <c r="BJ17" s="348"/>
      <c r="BK17" s="348"/>
      <c r="BL17" s="348"/>
      <c r="BM17" s="348"/>
      <c r="BN17" s="348"/>
      <c r="BO17" s="348"/>
      <c r="BP17" s="348"/>
      <c r="BQ17" s="348"/>
      <c r="BR17" s="348"/>
      <c r="BS17" s="348"/>
      <c r="BT17" s="348"/>
      <c r="BU17" s="348"/>
      <c r="BV17" s="348"/>
      <c r="BW17" s="348"/>
      <c r="BX17" s="348"/>
      <c r="BY17" s="348"/>
      <c r="BZ17" s="348"/>
      <c r="CA17" s="348"/>
    </row>
    <row r="18" spans="1:79" ht="45.75" customHeight="1" x14ac:dyDescent="0.25">
      <c r="A18" s="404"/>
      <c r="B18" s="405"/>
      <c r="C18" s="405"/>
      <c r="D18" s="406"/>
      <c r="E18" s="406"/>
      <c r="F18" s="406"/>
      <c r="G18" s="407"/>
      <c r="H18" s="406"/>
      <c r="I18" s="406"/>
      <c r="J18" s="406"/>
      <c r="K18" s="404"/>
      <c r="L18" s="408"/>
      <c r="M18" s="409"/>
      <c r="N18" s="410"/>
      <c r="O18" s="409">
        <f t="shared" ca="1" si="14"/>
        <v>0</v>
      </c>
      <c r="P18" s="408"/>
      <c r="Q18" s="409"/>
      <c r="R18" s="411"/>
      <c r="S18" s="412">
        <v>3</v>
      </c>
      <c r="T18" s="389"/>
      <c r="U18" s="414"/>
      <c r="V18" s="414"/>
      <c r="W18" s="413" t="str">
        <f t="shared" si="15"/>
        <v/>
      </c>
      <c r="X18" s="414"/>
      <c r="Y18" s="414"/>
      <c r="Z18" s="414"/>
      <c r="AA18" s="415" t="str">
        <f>IFERROR(IF(AND(AB17="Probabilidad",AB18="Probabilidad"),(AH17-(+AH17*W18)),IF(AND(AB17="Impacto",AB18="Probabilidad"),(W17-(+W17*W18)),IF(AB18="Impacto",AB17,""))),"")</f>
        <v/>
      </c>
      <c r="AB18" s="392" t="str">
        <f t="shared" si="2"/>
        <v/>
      </c>
      <c r="AC18" s="393"/>
      <c r="AD18" s="393"/>
      <c r="AE18" s="393"/>
      <c r="AF18" s="394"/>
      <c r="AG18" s="417" t="str">
        <f t="shared" si="8"/>
        <v/>
      </c>
      <c r="AH18" s="416" t="str">
        <f t="shared" si="13"/>
        <v/>
      </c>
      <c r="AI18" s="395" t="str">
        <f t="shared" si="5"/>
        <v/>
      </c>
      <c r="AJ18" s="396" t="str">
        <f>IFERROR(IF(AND(AB17="Impacto",AB18="Impacto"),(AJ17-(+AJ17*W18)),IF(AND(AB17="Probabilidad",AB18="Impacto"),(AJ16-(+AJ16*W18)),IF(AB18="Probabilidad",AJ17,""))),"")</f>
        <v/>
      </c>
      <c r="AK18" s="397" t="str">
        <f>IFERROR(IF(OR(AND(AG18="Muy Baja",AI18="Leve"),AND(AG18="Muy Baja",AI18="Menor"),AND(AG18="Baja",AI18="Leve")),"Bajo",IF(OR(AND(AG18="Muy baja",AI18="Moderado"),AND(AG18="Baja",AI18="Menor"),AND(AG18="Baja",AI18="Moderado"),AND(AG18="Media",AI18="Leve"),AND(AG18="Media",AI18="Menor"),AND(AG18="Media",AI18="Moderado"),AND(AG18="Alta",AI18="Leve"),AND(AG18="Alta",AI18="Menor")),"Moderado",IF(OR(AND(AG18="Muy Baja",AI18="Mayor"),AND(AG18="Baja",AI18="Mayor"),AND(AG18="Media",AI18="Mayor"),AND(AG18="Alta",AI18="Moderado"),AND(AG18="Alta",AI18="Mayor"),AND(AG18="Muy Alta",AI18="Leve"),AND(AG18="Muy Alta",AI18="Menor"),AND(AG18="Muy Alta",AI18="Moderado"),AND(AG18="Muy Alta",AI18="Mayor")),"Alto",IF(OR(AND(AG18="Muy Baja",AI18="Catastrófico"),AND(AG18="Baja",AI18="Catastrófico"),AND(AG18="Media",AI18="Catastrófico"),AND(AG18="Alta",AI18="Catastrófico"),AND(AG18="Muy Alta",AI18="Catastrófico")),"Extremo","")))),"")</f>
        <v/>
      </c>
      <c r="AL18" s="398"/>
      <c r="AM18" s="399"/>
      <c r="AN18" s="399"/>
      <c r="AO18" s="400"/>
      <c r="AP18" s="400"/>
      <c r="AQ18" s="400"/>
      <c r="AR18" s="401"/>
      <c r="AS18" s="401"/>
      <c r="AT18" s="399"/>
      <c r="AU18" s="388"/>
      <c r="AV18" s="348"/>
      <c r="AW18" s="348"/>
      <c r="AX18" s="348"/>
      <c r="AY18" s="348"/>
      <c r="AZ18" s="348"/>
      <c r="BA18" s="348"/>
      <c r="BB18" s="348"/>
      <c r="BC18" s="348"/>
      <c r="BD18" s="348"/>
      <c r="BE18" s="348"/>
      <c r="BF18" s="348"/>
      <c r="BG18" s="348"/>
      <c r="BH18" s="348"/>
      <c r="BI18" s="348"/>
      <c r="BJ18" s="348"/>
      <c r="BK18" s="348"/>
      <c r="BL18" s="348"/>
      <c r="BM18" s="348"/>
      <c r="BN18" s="348"/>
      <c r="BO18" s="348"/>
      <c r="BP18" s="348"/>
      <c r="BQ18" s="348"/>
      <c r="BR18" s="348"/>
      <c r="BS18" s="348"/>
      <c r="BT18" s="348"/>
      <c r="BU18" s="348"/>
      <c r="BV18" s="348"/>
      <c r="BW18" s="348"/>
      <c r="BX18" s="348"/>
      <c r="BY18" s="348"/>
      <c r="BZ18" s="348"/>
      <c r="CA18" s="348"/>
    </row>
    <row r="19" spans="1:79" ht="45.75" customHeight="1" x14ac:dyDescent="0.25">
      <c r="A19" s="404"/>
      <c r="B19" s="405"/>
      <c r="C19" s="405"/>
      <c r="D19" s="406"/>
      <c r="E19" s="406"/>
      <c r="F19" s="406"/>
      <c r="G19" s="407"/>
      <c r="H19" s="406"/>
      <c r="I19" s="406"/>
      <c r="J19" s="406"/>
      <c r="K19" s="404"/>
      <c r="L19" s="408"/>
      <c r="M19" s="409"/>
      <c r="N19" s="410"/>
      <c r="O19" s="409">
        <f t="shared" ca="1" si="14"/>
        <v>0</v>
      </c>
      <c r="P19" s="408"/>
      <c r="Q19" s="409"/>
      <c r="R19" s="411"/>
      <c r="S19" s="412">
        <v>4</v>
      </c>
      <c r="T19" s="389"/>
      <c r="U19" s="414"/>
      <c r="V19" s="414"/>
      <c r="W19" s="413" t="str">
        <f t="shared" si="15"/>
        <v/>
      </c>
      <c r="X19" s="414"/>
      <c r="Y19" s="414"/>
      <c r="Z19" s="414"/>
      <c r="AA19" s="415" t="str">
        <f>IFERROR(IF(AND(AB18="Probabilidad",AB19="Probabilidad"),(AH18-(+AH18*W19)),IF(AND(AB18="Impacto",AB19="Probabilidad"),(W18-(+W18*W19)),IF(AB19="Impacto",AB18,""))),"")</f>
        <v/>
      </c>
      <c r="AB19" s="392" t="str">
        <f t="shared" si="2"/>
        <v/>
      </c>
      <c r="AC19" s="393"/>
      <c r="AD19" s="393"/>
      <c r="AE19" s="393"/>
      <c r="AF19" s="394"/>
      <c r="AG19" s="417" t="str">
        <f t="shared" si="8"/>
        <v/>
      </c>
      <c r="AH19" s="416" t="str">
        <f t="shared" si="13"/>
        <v/>
      </c>
      <c r="AI19" s="395" t="str">
        <f t="shared" si="5"/>
        <v/>
      </c>
      <c r="AJ19" s="396" t="str">
        <f>IFERROR(IF(AND(AB18="Impacto",AB19="Impacto"),(AJ18-(+AJ18*W19)),IF(AND(AB18="Probabilidad",AB19="Impacto"),(AJ17-(+AJ17*W19)),IF(AB19="Probabilidad",AJ18,""))),"")</f>
        <v/>
      </c>
      <c r="AK19" s="397" t="str">
        <f t="shared" ref="AK19:AK21" si="16">IFERROR(IF(OR(AND(AG19="Muy Baja",AI19="Leve"),AND(AG19="Muy Baja",AI19="Menor"),AND(AG19="Baja",AI19="Leve")),"Bajo",IF(OR(AND(AG19="Muy baja",AI19="Moderado"),AND(AG19="Baja",AI19="Menor"),AND(AG19="Baja",AI19="Moderado"),AND(AG19="Media",AI19="Leve"),AND(AG19="Media",AI19="Menor"),AND(AG19="Media",AI19="Moderado"),AND(AG19="Alta",AI19="Leve"),AND(AG19="Alta",AI19="Menor")),"Moderado",IF(OR(AND(AG19="Muy Baja",AI19="Mayor"),AND(AG19="Baja",AI19="Mayor"),AND(AG19="Media",AI19="Mayor"),AND(AG19="Alta",AI19="Moderado"),AND(AG19="Alta",AI19="Mayor"),AND(AG19="Muy Alta",AI19="Leve"),AND(AG19="Muy Alta",AI19="Menor"),AND(AG19="Muy Alta",AI19="Moderado"),AND(AG19="Muy Alta",AI19="Mayor")),"Alto",IF(OR(AND(AG19="Muy Baja",AI19="Catastrófico"),AND(AG19="Baja",AI19="Catastrófico"),AND(AG19="Media",AI19="Catastrófico"),AND(AG19="Alta",AI19="Catastrófico"),AND(AG19="Muy Alta",AI19="Catastrófico")),"Extremo","")))),"")</f>
        <v/>
      </c>
      <c r="AL19" s="398"/>
      <c r="AM19" s="399"/>
      <c r="AN19" s="399"/>
      <c r="AO19" s="400"/>
      <c r="AP19" s="400"/>
      <c r="AQ19" s="400"/>
      <c r="AR19" s="401"/>
      <c r="AS19" s="401"/>
      <c r="AT19" s="399"/>
      <c r="AU19" s="388"/>
      <c r="AV19" s="348"/>
      <c r="AW19" s="348"/>
      <c r="AX19" s="348"/>
      <c r="AY19" s="348"/>
      <c r="AZ19" s="348"/>
      <c r="BA19" s="348"/>
      <c r="BB19" s="348"/>
      <c r="BC19" s="348"/>
      <c r="BD19" s="348"/>
      <c r="BE19" s="348"/>
      <c r="BF19" s="348"/>
      <c r="BG19" s="348"/>
      <c r="BH19" s="348"/>
      <c r="BI19" s="348"/>
      <c r="BJ19" s="348"/>
      <c r="BK19" s="348"/>
      <c r="BL19" s="348"/>
      <c r="BM19" s="348"/>
      <c r="BN19" s="348"/>
      <c r="BO19" s="348"/>
      <c r="BP19" s="348"/>
      <c r="BQ19" s="348"/>
      <c r="BR19" s="348"/>
      <c r="BS19" s="348"/>
      <c r="BT19" s="348"/>
      <c r="BU19" s="348"/>
      <c r="BV19" s="348"/>
      <c r="BW19" s="348"/>
      <c r="BX19" s="348"/>
      <c r="BY19" s="348"/>
      <c r="BZ19" s="348"/>
      <c r="CA19" s="348"/>
    </row>
    <row r="20" spans="1:79" ht="45.75" customHeight="1" x14ac:dyDescent="0.25">
      <c r="A20" s="404"/>
      <c r="B20" s="405"/>
      <c r="C20" s="405"/>
      <c r="D20" s="406"/>
      <c r="E20" s="406"/>
      <c r="F20" s="406"/>
      <c r="G20" s="407"/>
      <c r="H20" s="406"/>
      <c r="I20" s="406"/>
      <c r="J20" s="406"/>
      <c r="K20" s="404"/>
      <c r="L20" s="408"/>
      <c r="M20" s="409"/>
      <c r="N20" s="410"/>
      <c r="O20" s="409">
        <f t="shared" ca="1" si="14"/>
        <v>0</v>
      </c>
      <c r="P20" s="408"/>
      <c r="Q20" s="409"/>
      <c r="R20" s="411"/>
      <c r="S20" s="412">
        <v>5</v>
      </c>
      <c r="T20" s="389"/>
      <c r="U20" s="414"/>
      <c r="V20" s="414"/>
      <c r="W20" s="413" t="str">
        <f t="shared" si="15"/>
        <v/>
      </c>
      <c r="X20" s="414"/>
      <c r="Y20" s="414"/>
      <c r="Z20" s="414"/>
      <c r="AA20" s="415" t="str">
        <f>IFERROR(IF(AND(AB19="Probabilidad",AB20="Probabilidad"),(AH19-(+AH19*W20)),IF(AND(AB19="Impacto",AB20="Probabilidad"),(W19-(+W19*W20)),IF(AB20="Impacto",AB19,""))),"")</f>
        <v/>
      </c>
      <c r="AB20" s="392" t="str">
        <f t="shared" si="2"/>
        <v/>
      </c>
      <c r="AC20" s="393"/>
      <c r="AD20" s="393"/>
      <c r="AE20" s="393"/>
      <c r="AF20" s="394"/>
      <c r="AG20" s="417" t="str">
        <f t="shared" si="8"/>
        <v/>
      </c>
      <c r="AH20" s="416" t="str">
        <f t="shared" si="13"/>
        <v/>
      </c>
      <c r="AI20" s="395" t="str">
        <f t="shared" si="5"/>
        <v/>
      </c>
      <c r="AJ20" s="396" t="str">
        <f>IFERROR(IF(AND(AB19="Impacto",AB20="Impacto"),(AJ19-(+AJ19*W20)),IF(AND(AB19="Probabilidad",AB20="Impacto"),(AJ18-(+AJ18*W20)),IF(AB20="Probabilidad",AJ19,""))),"")</f>
        <v/>
      </c>
      <c r="AK20" s="397" t="str">
        <f t="shared" si="16"/>
        <v/>
      </c>
      <c r="AL20" s="398"/>
      <c r="AM20" s="399"/>
      <c r="AN20" s="399"/>
      <c r="AO20" s="400"/>
      <c r="AP20" s="400"/>
      <c r="AQ20" s="400"/>
      <c r="AR20" s="401"/>
      <c r="AS20" s="401"/>
      <c r="AT20" s="399"/>
      <c r="AU20" s="388"/>
      <c r="AV20" s="348"/>
      <c r="AW20" s="348"/>
      <c r="AX20" s="348"/>
      <c r="AY20" s="348"/>
      <c r="AZ20" s="348"/>
      <c r="BA20" s="348"/>
      <c r="BB20" s="348"/>
      <c r="BC20" s="348"/>
      <c r="BD20" s="348"/>
      <c r="BE20" s="348"/>
      <c r="BF20" s="348"/>
      <c r="BG20" s="348"/>
      <c r="BH20" s="348"/>
      <c r="BI20" s="348"/>
      <c r="BJ20" s="348"/>
      <c r="BK20" s="348"/>
      <c r="BL20" s="348"/>
      <c r="BM20" s="348"/>
      <c r="BN20" s="348"/>
      <c r="BO20" s="348"/>
      <c r="BP20" s="348"/>
      <c r="BQ20" s="348"/>
      <c r="BR20" s="348"/>
      <c r="BS20" s="348"/>
      <c r="BT20" s="348"/>
      <c r="BU20" s="348"/>
      <c r="BV20" s="348"/>
      <c r="BW20" s="348"/>
      <c r="BX20" s="348"/>
      <c r="BY20" s="348"/>
      <c r="BZ20" s="348"/>
      <c r="CA20" s="348"/>
    </row>
    <row r="21" spans="1:79" ht="45.75" customHeight="1" x14ac:dyDescent="0.25">
      <c r="A21" s="418"/>
      <c r="B21" s="419"/>
      <c r="C21" s="419"/>
      <c r="D21" s="420"/>
      <c r="E21" s="420"/>
      <c r="F21" s="420"/>
      <c r="G21" s="421"/>
      <c r="H21" s="420"/>
      <c r="I21" s="420"/>
      <c r="J21" s="420"/>
      <c r="K21" s="418"/>
      <c r="L21" s="422"/>
      <c r="M21" s="423"/>
      <c r="N21" s="424"/>
      <c r="O21" s="423">
        <f t="shared" ca="1" si="14"/>
        <v>0</v>
      </c>
      <c r="P21" s="422"/>
      <c r="Q21" s="423"/>
      <c r="R21" s="425"/>
      <c r="S21" s="412">
        <v>6</v>
      </c>
      <c r="T21" s="389"/>
      <c r="U21" s="414"/>
      <c r="V21" s="414"/>
      <c r="W21" s="413" t="str">
        <f t="shared" si="15"/>
        <v/>
      </c>
      <c r="X21" s="414"/>
      <c r="Y21" s="414"/>
      <c r="Z21" s="414"/>
      <c r="AA21" s="415" t="str">
        <f>IFERROR(IF(AND(AB20="Probabilidad",AB21="Probabilidad"),(AH20-(+AH20*W21)),IF(AND(AB20="Impacto",AB21="Probabilidad"),(W20-(+W20*W21)),IF(AB21="Impacto",AB20,""))),"")</f>
        <v/>
      </c>
      <c r="AB21" s="392" t="str">
        <f t="shared" si="2"/>
        <v/>
      </c>
      <c r="AC21" s="393"/>
      <c r="AD21" s="393"/>
      <c r="AE21" s="393"/>
      <c r="AF21" s="394"/>
      <c r="AG21" s="417" t="str">
        <f t="shared" si="8"/>
        <v/>
      </c>
      <c r="AH21" s="416" t="str">
        <f t="shared" si="13"/>
        <v/>
      </c>
      <c r="AI21" s="395" t="str">
        <f t="shared" si="5"/>
        <v/>
      </c>
      <c r="AJ21" s="396" t="str">
        <f>IFERROR(IF(AND(AB20="Impacto",AB21="Impacto"),(AJ20-(+AJ20*W21)),IF(AND(AB20="Probabilidad",AB21="Impacto"),(AJ19-(+AJ19*W21)),IF(AB21="Probabilidad",AJ20,""))),"")</f>
        <v/>
      </c>
      <c r="AK21" s="397" t="str">
        <f t="shared" si="16"/>
        <v/>
      </c>
      <c r="AL21" s="398"/>
      <c r="AM21" s="399"/>
      <c r="AN21" s="399"/>
      <c r="AO21" s="400"/>
      <c r="AP21" s="400"/>
      <c r="AQ21" s="400"/>
      <c r="AR21" s="401"/>
      <c r="AS21" s="401"/>
      <c r="AT21" s="399"/>
      <c r="AU21" s="388"/>
      <c r="AV21" s="348"/>
      <c r="AW21" s="348"/>
      <c r="AX21" s="348"/>
      <c r="AY21" s="348"/>
      <c r="AZ21" s="348"/>
      <c r="BA21" s="348"/>
      <c r="BB21" s="348"/>
      <c r="BC21" s="348"/>
      <c r="BD21" s="348"/>
      <c r="BE21" s="348"/>
      <c r="BF21" s="348"/>
      <c r="BG21" s="348"/>
      <c r="BH21" s="348"/>
      <c r="BI21" s="348"/>
      <c r="BJ21" s="348"/>
      <c r="BK21" s="348"/>
      <c r="BL21" s="348"/>
      <c r="BM21" s="348"/>
      <c r="BN21" s="348"/>
      <c r="BO21" s="348"/>
      <c r="BP21" s="348"/>
      <c r="BQ21" s="348"/>
      <c r="BR21" s="348"/>
      <c r="BS21" s="348"/>
      <c r="BT21" s="348"/>
      <c r="BU21" s="348"/>
      <c r="BV21" s="348"/>
      <c r="BW21" s="348"/>
      <c r="BX21" s="348"/>
      <c r="BY21" s="348"/>
      <c r="BZ21" s="348"/>
      <c r="CA21" s="348"/>
    </row>
    <row r="22" spans="1:79" ht="45.75" customHeight="1" x14ac:dyDescent="0.25">
      <c r="A22" s="380">
        <v>4</v>
      </c>
      <c r="B22" s="381" t="s">
        <v>339</v>
      </c>
      <c r="C22" s="381" t="s">
        <v>282</v>
      </c>
      <c r="D22" s="382" t="s">
        <v>128</v>
      </c>
      <c r="E22" s="382" t="s">
        <v>283</v>
      </c>
      <c r="F22" s="382" t="s">
        <v>284</v>
      </c>
      <c r="G22" s="383" t="s">
        <v>543</v>
      </c>
      <c r="H22" s="382" t="s">
        <v>126</v>
      </c>
      <c r="I22" s="382" t="s">
        <v>247</v>
      </c>
      <c r="J22" s="382" t="s">
        <v>256</v>
      </c>
      <c r="K22" s="380" t="s">
        <v>101</v>
      </c>
      <c r="L22" s="384" t="str">
        <f>IF(K22&lt;=0,"",IF(K22&lt;="La actividad que conlleva el riesgo se ejecuta como máximos 2 veces por año","Muy Baja",IF(K22="La actividad que conlleva el riesgo se ejecuta de 3 a 24 veces por año","Baja",IF(K22="La actividad que conlleva el riesgo se ejecuta de 24 a 500 veces por año","Media",IF(K22="La actividad que conlleva el riesgo se ejecuta mínimo 500 veces al año y máximo 5000 veces por año","Alta","Muy Alta")))))</f>
        <v>Baja</v>
      </c>
      <c r="M22" s="385">
        <f>IF(L22="","",IF(L22="Muy Baja",0.2,IF(L22="Baja",0.4,IF(L22="Media",0.6,IF(L22="Alta",0.8,IF(L22="Muy Alta",1,))))))</f>
        <v>0.4</v>
      </c>
      <c r="N22" s="386" t="s">
        <v>149</v>
      </c>
      <c r="O22" s="385" t="str">
        <f ca="1">IF(NOT(ISERROR(MATCH(N22,'Tabla Impacto'!$B$221:$B$223,0))),'Tabla Impacto'!$F$223&amp;"Por favor no seleccionar los criterios de impacto(Afectación Económica o presupuestal y Pérdida Reputacional)",N22)</f>
        <v xml:space="preserve">     El riesgo afecta la imagen de la entidad con algunos usuarios de relevancia frente al logro de los objetivos</v>
      </c>
      <c r="P22" s="384" t="str">
        <f ca="1">IF(OR(O22='Tabla Impacto'!$C$11,O22='Tabla Impacto'!$D$11),"Leve",IF(OR(O22='Tabla Impacto'!$C$12,O22='Tabla Impacto'!$D$12),"Menor",IF(OR(O22='Tabla Impacto'!$C$13,O22='Tabla Impacto'!$D$13),"Moderado",IF(OR(O22='Tabla Impacto'!$C$14,O22='Tabla Impacto'!$D$14),"Mayor",IF(OR(O22='Tabla Impacto'!$C$15,O22='Tabla Impacto'!$D$15),"Catastrófico","")))))</f>
        <v>Moderado</v>
      </c>
      <c r="Q22" s="385">
        <f ca="1">IF(P22="","",IF(P22="Leve",0.2,IF(P22="Menor",0.4,IF(P22="Moderado",0.6,IF(P22="Mayor",0.8,IF(P22="Catastrófico",1,))))))</f>
        <v>0.6</v>
      </c>
      <c r="R22" s="387" t="str">
        <f ca="1">IF(OR(AND(L22="Muy Baja",P22="Leve"),AND(L22="Muy Baja",P22="Menor"),AND(L22="Baja",P22="Leve")),"Bajo",IF(OR(AND(L22="Muy baja",P22="Moderado"),AND(L22="Baja",P22="Menor"),AND(L22="Baja",P22="Moderado"),AND(L22="Media",P22="Leve"),AND(L22="Media",P22="Menor"),AND(L22="Media",P22="Moderado"),AND(L22="Alta",P22="Leve"),AND(L22="Alta",P22="Menor")),"Moderado",IF(OR(AND(L22="Muy Baja",P22="Mayor"),AND(L22="Baja",P22="Mayor"),AND(L22="Media",P22="Mayor"),AND(L22="Alta",P22="Moderado"),AND(L22="Alta",P22="Mayor"),AND(L22="Muy Alta",P22="Leve"),AND(L22="Muy Alta",P22="Menor"),AND(L22="Muy Alta",P22="Moderado"),AND(L22="Muy Alta",P22="Mayor")),"Alto",IF(OR(AND(L22="Muy Baja",P22="Catastrófico"),AND(L22="Baja",P22="Catastrófico"),AND(L22="Media",P22="Catastrófico"),AND(L22="Alta",P22="Catastrófico"),AND(L22="Muy Alta",P22="Catastrófico")),"Extremo",""))))</f>
        <v>Moderado</v>
      </c>
      <c r="S22" s="412">
        <v>1</v>
      </c>
      <c r="T22" s="389" t="s">
        <v>340</v>
      </c>
      <c r="U22" s="390" t="s">
        <v>14</v>
      </c>
      <c r="V22" s="390" t="s">
        <v>10</v>
      </c>
      <c r="W22" s="391" t="str">
        <f>IF(AND(U22="Preventivo",V22="Automático"),"50%",IF(AND(U22="Preventivo",V22="Manual"),"40%",IF(AND(U22="Detectivo",V22="Automático"),"40%",IF(AND(U22="Detectivo",V22="Manual"),"30%",IF(AND(U22="Correctivo",V22="Automático"),"35%",IF(AND(U22="Correctivo",V22="Manual"),"25%",""))))))</f>
        <v>50%</v>
      </c>
      <c r="X22" s="390" t="s">
        <v>19</v>
      </c>
      <c r="Y22" s="390" t="s">
        <v>22</v>
      </c>
      <c r="Z22" s="390" t="s">
        <v>117</v>
      </c>
      <c r="AA22" s="392">
        <f>IFERROR(IF(AB22="Probabilidad",(M22-(+M22*W22)),IF(AB22="Impacto",M22,"")),"")</f>
        <v>0.2</v>
      </c>
      <c r="AB22" s="392" t="str">
        <f t="shared" si="2"/>
        <v>Probabilidad</v>
      </c>
      <c r="AC22" s="393" t="s">
        <v>345</v>
      </c>
      <c r="AD22" s="393" t="s">
        <v>285</v>
      </c>
      <c r="AE22" s="393" t="s">
        <v>286</v>
      </c>
      <c r="AF22" s="394" t="s">
        <v>248</v>
      </c>
      <c r="AG22" s="417" t="str">
        <f t="shared" si="8"/>
        <v>Muy Baja</v>
      </c>
      <c r="AH22" s="416">
        <f t="shared" si="13"/>
        <v>0.2</v>
      </c>
      <c r="AI22" s="395" t="str">
        <f t="shared" ca="1" si="5"/>
        <v>Moderado</v>
      </c>
      <c r="AJ22" s="396">
        <f ca="1">IFERROR(IF(AB22="Impacto",(Q22-(+Q22*W22)),IF(AB22="Probabilidad",Q22,"")),"")</f>
        <v>0.6</v>
      </c>
      <c r="AK22" s="397" t="str">
        <f ca="1">IFERROR(IF(OR(AND(AG22="Muy Baja",AI22="Leve"),AND(AG22="Muy Baja",AI22="Menor"),AND(AG22="Baja",AI22="Leve")),"Bajo",IF(OR(AND(AG22="Muy baja",AI22="Moderado"),AND(AG22="Baja",AI22="Menor"),AND(AG22="Baja",AI22="Moderado"),AND(AG22="Media",AI22="Leve"),AND(AG22="Media",AI22="Menor"),AND(AG22="Media",AI22="Moderado"),AND(AG22="Alta",AI22="Leve"),AND(AG22="Alta",AI22="Menor")),"Moderado",IF(OR(AND(AG22="Muy Baja",AI22="Mayor"),AND(AG22="Baja",AI22="Mayor"),AND(AG22="Media",AI22="Mayor"),AND(AG22="Alta",AI22="Moderado"),AND(AG22="Alta",AI22="Mayor"),AND(AG22="Muy Alta",AI22="Leve"),AND(AG22="Muy Alta",AI22="Menor"),AND(AG22="Muy Alta",AI22="Moderado"),AND(AG22="Muy Alta",AI22="Mayor")),"Alto",IF(OR(AND(AG22="Muy Baja",AI22="Catastrófico"),AND(AG22="Baja",AI22="Catastrófico"),AND(AG22="Media",AI22="Catastrófico"),AND(AG22="Alta",AI22="Catastrófico"),AND(AG22="Muy Alta",AI22="Catastrófico")),"Extremo","")))),"")</f>
        <v>Moderado</v>
      </c>
      <c r="AL22" s="398" t="s">
        <v>132</v>
      </c>
      <c r="AM22" s="399" t="s">
        <v>346</v>
      </c>
      <c r="AN22" s="399" t="s">
        <v>302</v>
      </c>
      <c r="AO22" s="400" t="s">
        <v>370</v>
      </c>
      <c r="AP22" s="400" t="s">
        <v>395</v>
      </c>
      <c r="AQ22" s="400" t="s">
        <v>397</v>
      </c>
      <c r="AR22" s="401">
        <v>44287</v>
      </c>
      <c r="AS22" s="401">
        <v>44287</v>
      </c>
      <c r="AT22" s="399" t="s">
        <v>531</v>
      </c>
      <c r="AU22" s="388" t="s">
        <v>41</v>
      </c>
      <c r="AV22" s="348"/>
      <c r="AW22" s="348"/>
      <c r="AX22" s="348"/>
      <c r="AY22" s="348"/>
      <c r="AZ22" s="348"/>
      <c r="BA22" s="348"/>
      <c r="BB22" s="348"/>
      <c r="BC22" s="348"/>
      <c r="BD22" s="348"/>
      <c r="BE22" s="348"/>
      <c r="BF22" s="348"/>
      <c r="BG22" s="348"/>
      <c r="BH22" s="348"/>
      <c r="BI22" s="348"/>
      <c r="BJ22" s="348"/>
      <c r="BK22" s="348"/>
      <c r="BL22" s="348"/>
      <c r="BM22" s="348"/>
      <c r="BN22" s="348"/>
      <c r="BO22" s="348"/>
      <c r="BP22" s="348"/>
      <c r="BQ22" s="348"/>
      <c r="BR22" s="348"/>
      <c r="BS22" s="348"/>
      <c r="BT22" s="348"/>
      <c r="BU22" s="348"/>
      <c r="BV22" s="348"/>
      <c r="BW22" s="348"/>
      <c r="BX22" s="348"/>
      <c r="BY22" s="348"/>
      <c r="BZ22" s="348"/>
      <c r="CA22" s="348"/>
    </row>
    <row r="23" spans="1:79" ht="87" customHeight="1" x14ac:dyDescent="0.25">
      <c r="A23" s="404"/>
      <c r="B23" s="405"/>
      <c r="C23" s="405"/>
      <c r="D23" s="406"/>
      <c r="E23" s="406"/>
      <c r="F23" s="406"/>
      <c r="G23" s="407"/>
      <c r="H23" s="406"/>
      <c r="I23" s="406"/>
      <c r="J23" s="406"/>
      <c r="K23" s="404"/>
      <c r="L23" s="408"/>
      <c r="M23" s="409"/>
      <c r="N23" s="410"/>
      <c r="O23" s="409">
        <f t="shared" ref="O23:O27" ca="1" si="17">IF(NOT(ISERROR(MATCH(N23,_xlfn.ANCHORARRAY(G34),0))),M36&amp;"Por favor no seleccionar los criterios de impacto",N23)</f>
        <v>0</v>
      </c>
      <c r="P23" s="408"/>
      <c r="Q23" s="409"/>
      <c r="R23" s="411"/>
      <c r="S23" s="412">
        <v>2</v>
      </c>
      <c r="T23" s="389" t="s">
        <v>341</v>
      </c>
      <c r="U23" s="390" t="s">
        <v>15</v>
      </c>
      <c r="V23" s="390" t="s">
        <v>10</v>
      </c>
      <c r="W23" s="391" t="str">
        <f t="shared" ref="W23:W27" si="18">IF(AND(U23="Preventivo",V23="Automático"),"50%",IF(AND(U23="Preventivo",V23="Manual"),"40%",IF(AND(U23="Detectivo",V23="Automático"),"40%",IF(AND(U23="Detectivo",V23="Manual"),"30%",IF(AND(U23="Correctivo",V23="Automático"),"35%",IF(AND(U23="Correctivo",V23="Manual"),"25%",""))))))</f>
        <v>40%</v>
      </c>
      <c r="X23" s="414" t="s">
        <v>19</v>
      </c>
      <c r="Y23" s="414" t="s">
        <v>23</v>
      </c>
      <c r="Z23" s="390" t="s">
        <v>117</v>
      </c>
      <c r="AA23" s="392">
        <f>IFERROR(IF(AND(AB22="Probabilidad",AB23="Probabilidad"),(AH22-(+AH22*W23)),IF(AB23="Probabilidad",(M22-(+M22*W23)),IF(AB23="Impacto",AH22,""))),"")</f>
        <v>0.12</v>
      </c>
      <c r="AB23" s="392" t="str">
        <f t="shared" si="2"/>
        <v>Probabilidad</v>
      </c>
      <c r="AC23" s="393" t="s">
        <v>344</v>
      </c>
      <c r="AD23" s="393" t="s">
        <v>285</v>
      </c>
      <c r="AE23" s="393" t="s">
        <v>286</v>
      </c>
      <c r="AF23" s="394" t="s">
        <v>248</v>
      </c>
      <c r="AG23" s="417" t="str">
        <f t="shared" si="8"/>
        <v>Muy Baja</v>
      </c>
      <c r="AH23" s="416">
        <f t="shared" si="13"/>
        <v>0.12</v>
      </c>
      <c r="AI23" s="395" t="str">
        <f t="shared" ca="1" si="5"/>
        <v>Moderado</v>
      </c>
      <c r="AJ23" s="396">
        <f ca="1">IFERROR(IF(AND(AB22="Impacto",AB23="Impacto"),(AJ22-(+AJ22*W23)),IF(AB23="Impacto",($Q$10-(+$Q$10*AB23)),IF(AB23="Probabilidad",AJ22,""))),"")</f>
        <v>0.6</v>
      </c>
      <c r="AK23" s="397" t="str">
        <f ca="1">IFERROR(IF(OR(AND(AG23="Muy Baja",AI23="Leve"),AND(AG23="Muy Baja",AI23="Menor"),AND(AG23="Baja",AI23="Leve")),"Bajo",IF(OR(AND(AG23="Muy baja",AI23="Moderado"),AND(AG23="Baja",AI23="Menor"),AND(AG23="Baja",AI23="Moderado"),AND(AG23="Media",AI23="Leve"),AND(AG23="Media",AI23="Menor"),AND(AG23="Media",AI23="Moderado"),AND(AG23="Alta",AI23="Leve"),AND(AG23="Alta",AI23="Menor")),"Moderado",IF(OR(AND(AG23="Muy Baja",AI23="Mayor"),AND(AG23="Baja",AI23="Mayor"),AND(AG23="Media",AI23="Mayor"),AND(AG23="Alta",AI23="Moderado"),AND(AG23="Alta",AI23="Mayor"),AND(AG23="Muy Alta",AI23="Leve"),AND(AG23="Muy Alta",AI23="Menor"),AND(AG23="Muy Alta",AI23="Moderado"),AND(AG23="Muy Alta",AI23="Mayor")),"Alto",IF(OR(AND(AG23="Muy Baja",AI23="Catastrófico"),AND(AG23="Baja",AI23="Catastrófico"),AND(AG23="Media",AI23="Catastrófico"),AND(AG23="Alta",AI23="Catastrófico"),AND(AG23="Muy Alta",AI23="Catastrófico")),"Extremo","")))),"")</f>
        <v>Moderado</v>
      </c>
      <c r="AL23" s="398" t="s">
        <v>132</v>
      </c>
      <c r="AM23" s="399" t="s">
        <v>346</v>
      </c>
      <c r="AN23" s="399" t="s">
        <v>302</v>
      </c>
      <c r="AO23" s="400" t="s">
        <v>370</v>
      </c>
      <c r="AP23" s="400" t="s">
        <v>395</v>
      </c>
      <c r="AQ23" s="400" t="s">
        <v>397</v>
      </c>
      <c r="AR23" s="401">
        <v>44287</v>
      </c>
      <c r="AS23" s="401">
        <v>44287</v>
      </c>
      <c r="AT23" s="399" t="s">
        <v>531</v>
      </c>
      <c r="AU23" s="388" t="s">
        <v>41</v>
      </c>
      <c r="AV23" s="348"/>
      <c r="AW23" s="348"/>
      <c r="AX23" s="348"/>
      <c r="AY23" s="348"/>
      <c r="AZ23" s="348"/>
      <c r="BA23" s="348"/>
      <c r="BB23" s="348"/>
      <c r="BC23" s="348"/>
      <c r="BD23" s="348"/>
      <c r="BE23" s="348"/>
      <c r="BF23" s="348"/>
      <c r="BG23" s="348"/>
      <c r="BH23" s="348"/>
      <c r="BI23" s="348"/>
      <c r="BJ23" s="348"/>
      <c r="BK23" s="348"/>
      <c r="BL23" s="348"/>
      <c r="BM23" s="348"/>
      <c r="BN23" s="348"/>
      <c r="BO23" s="348"/>
      <c r="BP23" s="348"/>
      <c r="BQ23" s="348"/>
      <c r="BR23" s="348"/>
      <c r="BS23" s="348"/>
      <c r="BT23" s="348"/>
      <c r="BU23" s="348"/>
      <c r="BV23" s="348"/>
      <c r="BW23" s="348"/>
      <c r="BX23" s="348"/>
      <c r="BY23" s="348"/>
      <c r="BZ23" s="348"/>
      <c r="CA23" s="348"/>
    </row>
    <row r="24" spans="1:79" ht="45.75" customHeight="1" x14ac:dyDescent="0.25">
      <c r="A24" s="404"/>
      <c r="B24" s="405"/>
      <c r="C24" s="405"/>
      <c r="D24" s="406"/>
      <c r="E24" s="406"/>
      <c r="F24" s="406"/>
      <c r="G24" s="407"/>
      <c r="H24" s="406"/>
      <c r="I24" s="406"/>
      <c r="J24" s="406"/>
      <c r="K24" s="404"/>
      <c r="L24" s="408"/>
      <c r="M24" s="409"/>
      <c r="N24" s="410"/>
      <c r="O24" s="409">
        <f t="shared" ca="1" si="17"/>
        <v>0</v>
      </c>
      <c r="P24" s="408"/>
      <c r="Q24" s="409"/>
      <c r="R24" s="411"/>
      <c r="S24" s="412">
        <v>3</v>
      </c>
      <c r="T24" s="389" t="s">
        <v>342</v>
      </c>
      <c r="U24" s="414" t="s">
        <v>14</v>
      </c>
      <c r="V24" s="414" t="s">
        <v>10</v>
      </c>
      <c r="W24" s="391" t="str">
        <f t="shared" si="18"/>
        <v>50%</v>
      </c>
      <c r="X24" s="414" t="s">
        <v>19</v>
      </c>
      <c r="Y24" s="414" t="s">
        <v>22</v>
      </c>
      <c r="Z24" s="390" t="s">
        <v>117</v>
      </c>
      <c r="AA24" s="415">
        <f>IFERROR(IF(AND(AB23="Probabilidad",AB24="Probabilidad"),(AH23-(+AH23*W24)),IF(AND(AB23="Impacto",AB24="Probabilidad"),(W23-(+W23*W24)),IF(AB24="Impacto",AB23,""))),"")</f>
        <v>0.06</v>
      </c>
      <c r="AB24" s="392" t="str">
        <f t="shared" si="2"/>
        <v>Probabilidad</v>
      </c>
      <c r="AC24" s="393" t="s">
        <v>343</v>
      </c>
      <c r="AD24" s="393" t="s">
        <v>285</v>
      </c>
      <c r="AE24" s="393" t="s">
        <v>286</v>
      </c>
      <c r="AF24" s="394" t="s">
        <v>248</v>
      </c>
      <c r="AG24" s="417" t="str">
        <f t="shared" si="8"/>
        <v>Muy Baja</v>
      </c>
      <c r="AH24" s="416">
        <f t="shared" si="13"/>
        <v>0.06</v>
      </c>
      <c r="AI24" s="395" t="str">
        <f t="shared" ca="1" si="5"/>
        <v>Moderado</v>
      </c>
      <c r="AJ24" s="396">
        <f ca="1">IFERROR(IF(AND(AB23="Impacto",AB24="Impacto"),(AJ23-(+AJ23*W24)),IF(AND(AB23="Probabilidad",AB24="Impacto"),(AJ22-(+AJ22*W24)),IF(AB24="Probabilidad",AJ23,""))),"")</f>
        <v>0.6</v>
      </c>
      <c r="AK24" s="397" t="str">
        <f ca="1">IFERROR(IF(OR(AND(AG24="Muy Baja",AI24="Leve"),AND(AG24="Muy Baja",AI24="Menor"),AND(AG24="Baja",AI24="Leve")),"Bajo",IF(OR(AND(AG24="Muy baja",AI24="Moderado"),AND(AG24="Baja",AI24="Menor"),AND(AG24="Baja",AI24="Moderado"),AND(AG24="Media",AI24="Leve"),AND(AG24="Media",AI24="Menor"),AND(AG24="Media",AI24="Moderado"),AND(AG24="Alta",AI24="Leve"),AND(AG24="Alta",AI24="Menor")),"Moderado",IF(OR(AND(AG24="Muy Baja",AI24="Mayor"),AND(AG24="Baja",AI24="Mayor"),AND(AG24="Media",AI24="Mayor"),AND(AG24="Alta",AI24="Moderado"),AND(AG24="Alta",AI24="Mayor"),AND(AG24="Muy Alta",AI24="Leve"),AND(AG24="Muy Alta",AI24="Menor"),AND(AG24="Muy Alta",AI24="Moderado"),AND(AG24="Muy Alta",AI24="Mayor")),"Alto",IF(OR(AND(AG24="Muy Baja",AI24="Catastrófico"),AND(AG24="Baja",AI24="Catastrófico"),AND(AG24="Media",AI24="Catastrófico"),AND(AG24="Alta",AI24="Catastrófico"),AND(AG24="Muy Alta",AI24="Catastrófico")),"Extremo","")))),"")</f>
        <v>Moderado</v>
      </c>
      <c r="AL24" s="398" t="s">
        <v>132</v>
      </c>
      <c r="AM24" s="399" t="s">
        <v>346</v>
      </c>
      <c r="AN24" s="399" t="s">
        <v>302</v>
      </c>
      <c r="AO24" s="400" t="s">
        <v>370</v>
      </c>
      <c r="AP24" s="400" t="s">
        <v>395</v>
      </c>
      <c r="AQ24" s="400" t="s">
        <v>397</v>
      </c>
      <c r="AR24" s="401">
        <v>44287</v>
      </c>
      <c r="AS24" s="401">
        <v>44287</v>
      </c>
      <c r="AT24" s="399" t="s">
        <v>531</v>
      </c>
      <c r="AU24" s="388" t="s">
        <v>41</v>
      </c>
      <c r="AV24" s="348"/>
      <c r="AW24" s="348"/>
      <c r="AX24" s="348"/>
      <c r="AY24" s="348"/>
      <c r="AZ24" s="348"/>
      <c r="BA24" s="348"/>
      <c r="BB24" s="348"/>
      <c r="BC24" s="348"/>
      <c r="BD24" s="348"/>
      <c r="BE24" s="348"/>
      <c r="BF24" s="348"/>
      <c r="BG24" s="348"/>
      <c r="BH24" s="348"/>
      <c r="BI24" s="348"/>
      <c r="BJ24" s="348"/>
      <c r="BK24" s="348"/>
      <c r="BL24" s="348"/>
      <c r="BM24" s="348"/>
      <c r="BN24" s="348"/>
      <c r="BO24" s="348"/>
      <c r="BP24" s="348"/>
      <c r="BQ24" s="348"/>
      <c r="BR24" s="348"/>
      <c r="BS24" s="348"/>
      <c r="BT24" s="348"/>
      <c r="BU24" s="348"/>
      <c r="BV24" s="348"/>
      <c r="BW24" s="348"/>
      <c r="BX24" s="348"/>
      <c r="BY24" s="348"/>
      <c r="BZ24" s="348"/>
      <c r="CA24" s="348"/>
    </row>
    <row r="25" spans="1:79" ht="45.75" customHeight="1" x14ac:dyDescent="0.25">
      <c r="A25" s="404"/>
      <c r="B25" s="405"/>
      <c r="C25" s="405"/>
      <c r="D25" s="406"/>
      <c r="E25" s="406"/>
      <c r="F25" s="406"/>
      <c r="G25" s="407"/>
      <c r="H25" s="406"/>
      <c r="I25" s="406"/>
      <c r="J25" s="406"/>
      <c r="K25" s="404"/>
      <c r="L25" s="408"/>
      <c r="M25" s="409"/>
      <c r="N25" s="410"/>
      <c r="O25" s="409">
        <f t="shared" ca="1" si="17"/>
        <v>0</v>
      </c>
      <c r="P25" s="408"/>
      <c r="Q25" s="409"/>
      <c r="R25" s="411"/>
      <c r="S25" s="412">
        <v>4</v>
      </c>
      <c r="T25" s="389"/>
      <c r="U25" s="414"/>
      <c r="V25" s="414"/>
      <c r="W25" s="413" t="str">
        <f t="shared" si="18"/>
        <v/>
      </c>
      <c r="X25" s="414"/>
      <c r="Y25" s="414"/>
      <c r="Z25" s="414"/>
      <c r="AA25" s="415" t="str">
        <f>IFERROR(IF(AND(AB24="Probabilidad",AB25="Probabilidad"),(AH24-(+AH24*W25)),IF(AND(AB24="Impacto",AB25="Probabilidad"),(W24-(+W24*W25)),IF(AB25="Impacto",AB24,""))),"")</f>
        <v/>
      </c>
      <c r="AB25" s="392" t="str">
        <f t="shared" si="2"/>
        <v/>
      </c>
      <c r="AC25" s="393"/>
      <c r="AD25" s="393"/>
      <c r="AE25" s="393"/>
      <c r="AF25" s="394"/>
      <c r="AG25" s="417" t="str">
        <f t="shared" si="8"/>
        <v/>
      </c>
      <c r="AH25" s="416" t="str">
        <f t="shared" si="13"/>
        <v/>
      </c>
      <c r="AI25" s="395" t="str">
        <f t="shared" si="5"/>
        <v/>
      </c>
      <c r="AJ25" s="396" t="str">
        <f>IFERROR(IF(AND(AB24="Impacto",AB25="Impacto"),(AJ24-(+AJ24*W25)),IF(AND(AB24="Probabilidad",AB25="Impacto"),(AJ23-(+AJ23*W25)),IF(AB25="Probabilidad",AJ24,""))),"")</f>
        <v/>
      </c>
      <c r="AK25" s="397" t="str">
        <f t="shared" ref="AK25:AK27" si="19">IFERROR(IF(OR(AND(AG25="Muy Baja",AI25="Leve"),AND(AG25="Muy Baja",AI25="Menor"),AND(AG25="Baja",AI25="Leve")),"Bajo",IF(OR(AND(AG25="Muy baja",AI25="Moderado"),AND(AG25="Baja",AI25="Menor"),AND(AG25="Baja",AI25="Moderado"),AND(AG25="Media",AI25="Leve"),AND(AG25="Media",AI25="Menor"),AND(AG25="Media",AI25="Moderado"),AND(AG25="Alta",AI25="Leve"),AND(AG25="Alta",AI25="Menor")),"Moderado",IF(OR(AND(AG25="Muy Baja",AI25="Mayor"),AND(AG25="Baja",AI25="Mayor"),AND(AG25="Media",AI25="Mayor"),AND(AG25="Alta",AI25="Moderado"),AND(AG25="Alta",AI25="Mayor"),AND(AG25="Muy Alta",AI25="Leve"),AND(AG25="Muy Alta",AI25="Menor"),AND(AG25="Muy Alta",AI25="Moderado"),AND(AG25="Muy Alta",AI25="Mayor")),"Alto",IF(OR(AND(AG25="Muy Baja",AI25="Catastrófico"),AND(AG25="Baja",AI25="Catastrófico"),AND(AG25="Media",AI25="Catastrófico"),AND(AG25="Alta",AI25="Catastrófico"),AND(AG25="Muy Alta",AI25="Catastrófico")),"Extremo","")))),"")</f>
        <v/>
      </c>
      <c r="AL25" s="398"/>
      <c r="AM25" s="399"/>
      <c r="AN25" s="399"/>
      <c r="AO25" s="400"/>
      <c r="AP25" s="400"/>
      <c r="AQ25" s="400"/>
      <c r="AR25" s="401"/>
      <c r="AS25" s="401"/>
      <c r="AT25" s="399"/>
      <c r="AU25" s="388"/>
      <c r="AV25" s="348"/>
      <c r="AW25" s="348"/>
      <c r="AX25" s="348"/>
      <c r="AY25" s="348"/>
      <c r="AZ25" s="348"/>
      <c r="BA25" s="348"/>
      <c r="BB25" s="348"/>
      <c r="BC25" s="348"/>
      <c r="BD25" s="348"/>
      <c r="BE25" s="348"/>
      <c r="BF25" s="348"/>
      <c r="BG25" s="348"/>
      <c r="BH25" s="348"/>
      <c r="BI25" s="348"/>
      <c r="BJ25" s="348"/>
      <c r="BK25" s="348"/>
      <c r="BL25" s="348"/>
      <c r="BM25" s="348"/>
      <c r="BN25" s="348"/>
      <c r="BO25" s="348"/>
      <c r="BP25" s="348"/>
      <c r="BQ25" s="348"/>
      <c r="BR25" s="348"/>
      <c r="BS25" s="348"/>
      <c r="BT25" s="348"/>
      <c r="BU25" s="348"/>
      <c r="BV25" s="348"/>
      <c r="BW25" s="348"/>
      <c r="BX25" s="348"/>
      <c r="BY25" s="348"/>
      <c r="BZ25" s="348"/>
      <c r="CA25" s="348"/>
    </row>
    <row r="26" spans="1:79" ht="45.75" customHeight="1" x14ac:dyDescent="0.25">
      <c r="A26" s="404"/>
      <c r="B26" s="405"/>
      <c r="C26" s="405"/>
      <c r="D26" s="406"/>
      <c r="E26" s="406"/>
      <c r="F26" s="406"/>
      <c r="G26" s="407"/>
      <c r="H26" s="406"/>
      <c r="I26" s="406"/>
      <c r="J26" s="406"/>
      <c r="K26" s="404"/>
      <c r="L26" s="408"/>
      <c r="M26" s="409"/>
      <c r="N26" s="410"/>
      <c r="O26" s="409">
        <f t="shared" ca="1" si="17"/>
        <v>0</v>
      </c>
      <c r="P26" s="408"/>
      <c r="Q26" s="409"/>
      <c r="R26" s="411"/>
      <c r="S26" s="412">
        <v>5</v>
      </c>
      <c r="T26" s="389"/>
      <c r="U26" s="414"/>
      <c r="V26" s="414"/>
      <c r="W26" s="413" t="str">
        <f t="shared" si="18"/>
        <v/>
      </c>
      <c r="X26" s="414"/>
      <c r="Y26" s="414"/>
      <c r="Z26" s="414"/>
      <c r="AA26" s="415" t="str">
        <f>IFERROR(IF(AND(AB25="Probabilidad",AB26="Probabilidad"),(AH25-(+AH25*W26)),IF(AND(AB25="Impacto",AB26="Probabilidad"),(W25-(+W25*W26)),IF(AB26="Impacto",AB25,""))),"")</f>
        <v/>
      </c>
      <c r="AB26" s="392" t="str">
        <f t="shared" si="2"/>
        <v/>
      </c>
      <c r="AC26" s="393"/>
      <c r="AD26" s="393"/>
      <c r="AE26" s="393"/>
      <c r="AF26" s="394"/>
      <c r="AG26" s="417" t="str">
        <f t="shared" si="8"/>
        <v/>
      </c>
      <c r="AH26" s="416" t="str">
        <f t="shared" si="13"/>
        <v/>
      </c>
      <c r="AI26" s="395" t="str">
        <f t="shared" si="5"/>
        <v/>
      </c>
      <c r="AJ26" s="396" t="str">
        <f>IFERROR(IF(AND(AB25="Impacto",AB26="Impacto"),(AJ25-(+AJ25*W26)),IF(AND(AB25="Probabilidad",AB26="Impacto"),(AJ24-(+AJ24*W26)),IF(AB26="Probabilidad",AJ25,""))),"")</f>
        <v/>
      </c>
      <c r="AK26" s="397" t="str">
        <f t="shared" si="19"/>
        <v/>
      </c>
      <c r="AL26" s="398"/>
      <c r="AM26" s="399"/>
      <c r="AN26" s="399"/>
      <c r="AO26" s="400"/>
      <c r="AP26" s="400"/>
      <c r="AQ26" s="400"/>
      <c r="AR26" s="401"/>
      <c r="AS26" s="401"/>
      <c r="AT26" s="399"/>
      <c r="AU26" s="388"/>
      <c r="AV26" s="348"/>
      <c r="AW26" s="348"/>
      <c r="AX26" s="348"/>
      <c r="AY26" s="348"/>
      <c r="AZ26" s="348"/>
      <c r="BA26" s="348"/>
      <c r="BB26" s="348"/>
      <c r="BC26" s="348"/>
      <c r="BD26" s="348"/>
      <c r="BE26" s="348"/>
      <c r="BF26" s="348"/>
      <c r="BG26" s="348"/>
      <c r="BH26" s="348"/>
      <c r="BI26" s="348"/>
      <c r="BJ26" s="348"/>
      <c r="BK26" s="348"/>
      <c r="BL26" s="348"/>
      <c r="BM26" s="348"/>
      <c r="BN26" s="348"/>
      <c r="BO26" s="348"/>
      <c r="BP26" s="348"/>
      <c r="BQ26" s="348"/>
      <c r="BR26" s="348"/>
      <c r="BS26" s="348"/>
      <c r="BT26" s="348"/>
      <c r="BU26" s="348"/>
      <c r="BV26" s="348"/>
      <c r="BW26" s="348"/>
      <c r="BX26" s="348"/>
      <c r="BY26" s="348"/>
      <c r="BZ26" s="348"/>
      <c r="CA26" s="348"/>
    </row>
    <row r="27" spans="1:79" ht="45.75" customHeight="1" x14ac:dyDescent="0.25">
      <c r="A27" s="418"/>
      <c r="B27" s="419"/>
      <c r="C27" s="419"/>
      <c r="D27" s="420"/>
      <c r="E27" s="420"/>
      <c r="F27" s="420"/>
      <c r="G27" s="421"/>
      <c r="H27" s="420"/>
      <c r="I27" s="420"/>
      <c r="J27" s="420"/>
      <c r="K27" s="418"/>
      <c r="L27" s="422"/>
      <c r="M27" s="423"/>
      <c r="N27" s="424"/>
      <c r="O27" s="423">
        <f t="shared" ca="1" si="17"/>
        <v>0</v>
      </c>
      <c r="P27" s="422"/>
      <c r="Q27" s="423"/>
      <c r="R27" s="425"/>
      <c r="S27" s="412">
        <v>6</v>
      </c>
      <c r="T27" s="389"/>
      <c r="U27" s="414"/>
      <c r="V27" s="414"/>
      <c r="W27" s="413" t="str">
        <f t="shared" si="18"/>
        <v/>
      </c>
      <c r="X27" s="414"/>
      <c r="Y27" s="414"/>
      <c r="Z27" s="414"/>
      <c r="AA27" s="415" t="str">
        <f>IFERROR(IF(AND(AB26="Probabilidad",AB27="Probabilidad"),(AH26-(+AH26*W27)),IF(AND(AB26="Impacto",AB27="Probabilidad"),(W26-(+W26*W27)),IF(AB27="Impacto",AB26,""))),"")</f>
        <v/>
      </c>
      <c r="AB27" s="392" t="str">
        <f t="shared" si="2"/>
        <v/>
      </c>
      <c r="AC27" s="393"/>
      <c r="AD27" s="393"/>
      <c r="AE27" s="393"/>
      <c r="AF27" s="394"/>
      <c r="AG27" s="417" t="str">
        <f t="shared" si="8"/>
        <v/>
      </c>
      <c r="AH27" s="416" t="str">
        <f t="shared" si="13"/>
        <v/>
      </c>
      <c r="AI27" s="395" t="str">
        <f t="shared" si="5"/>
        <v/>
      </c>
      <c r="AJ27" s="396" t="str">
        <f>IFERROR(IF(AND(AB26="Impacto",AB27="Impacto"),(AJ26-(+AJ26*W27)),IF(AND(AB26="Probabilidad",AB27="Impacto"),(AJ25-(+AJ25*W27)),IF(AB27="Probabilidad",AJ26,""))),"")</f>
        <v/>
      </c>
      <c r="AK27" s="397" t="str">
        <f t="shared" si="19"/>
        <v/>
      </c>
      <c r="AL27" s="398"/>
      <c r="AM27" s="399"/>
      <c r="AN27" s="399"/>
      <c r="AO27" s="400"/>
      <c r="AP27" s="400"/>
      <c r="AQ27" s="400"/>
      <c r="AR27" s="401"/>
      <c r="AS27" s="401"/>
      <c r="AT27" s="399"/>
      <c r="AU27" s="388"/>
      <c r="AV27" s="348"/>
      <c r="AW27" s="348"/>
      <c r="AX27" s="348"/>
      <c r="AY27" s="348"/>
      <c r="AZ27" s="348"/>
      <c r="BA27" s="348"/>
      <c r="BB27" s="348"/>
      <c r="BC27" s="348"/>
      <c r="BD27" s="348"/>
      <c r="BE27" s="348"/>
      <c r="BF27" s="348"/>
      <c r="BG27" s="348"/>
      <c r="BH27" s="348"/>
      <c r="BI27" s="348"/>
      <c r="BJ27" s="348"/>
      <c r="BK27" s="348"/>
      <c r="BL27" s="348"/>
      <c r="BM27" s="348"/>
      <c r="BN27" s="348"/>
      <c r="BO27" s="348"/>
      <c r="BP27" s="348"/>
      <c r="BQ27" s="348"/>
      <c r="BR27" s="348"/>
      <c r="BS27" s="348"/>
      <c r="BT27" s="348"/>
      <c r="BU27" s="348"/>
      <c r="BV27" s="348"/>
      <c r="BW27" s="348"/>
      <c r="BX27" s="348"/>
      <c r="BY27" s="348"/>
      <c r="BZ27" s="348"/>
      <c r="CA27" s="348"/>
    </row>
    <row r="28" spans="1:79" ht="132.75" customHeight="1" x14ac:dyDescent="0.25">
      <c r="A28" s="380">
        <v>5</v>
      </c>
      <c r="B28" s="381" t="s">
        <v>347</v>
      </c>
      <c r="C28" s="381" t="s">
        <v>218</v>
      </c>
      <c r="D28" s="382" t="s">
        <v>128</v>
      </c>
      <c r="E28" s="382" t="s">
        <v>287</v>
      </c>
      <c r="F28" s="382" t="s">
        <v>288</v>
      </c>
      <c r="G28" s="383" t="s">
        <v>289</v>
      </c>
      <c r="H28" s="382" t="s">
        <v>124</v>
      </c>
      <c r="I28" s="382" t="s">
        <v>242</v>
      </c>
      <c r="J28" s="382" t="s">
        <v>290</v>
      </c>
      <c r="K28" s="380" t="s">
        <v>102</v>
      </c>
      <c r="L28" s="384" t="str">
        <f>IF(K28&lt;=0,"",IF(K28&lt;="La actividad que conlleva el riesgo se ejecuta como máximos 2 veces por año","Muy Baja",IF(K28="La actividad que conlleva el riesgo se ejecuta de 3 a 24 veces por año","Baja",IF(K28="La actividad que conlleva el riesgo se ejecuta de 24 a 500 veces por año","Media",IF(K28="La actividad que conlleva el riesgo se ejecuta mínimo 500 veces al año y máximo 5000 veces por año","Alta","Muy Alta")))))</f>
        <v>Media</v>
      </c>
      <c r="M28" s="385">
        <f>IF(L28="","",IF(L28="Muy Baja",0.2,IF(L28="Baja",0.4,IF(L28="Media",0.6,IF(L28="Alta",0.8,IF(L28="Muy Alta",1,))))))</f>
        <v>0.6</v>
      </c>
      <c r="N28" s="386" t="s">
        <v>149</v>
      </c>
      <c r="O28" s="385" t="str">
        <f ca="1">IF(NOT(ISERROR(MATCH(N28,'Tabla Impacto'!$B$221:$B$223,0))),'Tabla Impacto'!$F$223&amp;"Por favor no seleccionar los criterios de impacto(Afectación Económica o presupuestal y Pérdida Reputacional)",N28)</f>
        <v xml:space="preserve">     El riesgo afecta la imagen de la entidad con algunos usuarios de relevancia frente al logro de los objetivos</v>
      </c>
      <c r="P28" s="384" t="str">
        <f ca="1">IF(OR(O28='Tabla Impacto'!$C$11,O28='Tabla Impacto'!$D$11),"Leve",IF(OR(O28='Tabla Impacto'!$C$12,O28='Tabla Impacto'!$D$12),"Menor",IF(OR(O28='Tabla Impacto'!$C$13,O28='Tabla Impacto'!$D$13),"Moderado",IF(OR(O28='Tabla Impacto'!$C$14,O28='Tabla Impacto'!$D$14),"Mayor",IF(OR(O28='Tabla Impacto'!$C$15,O28='Tabla Impacto'!$D$15),"Catastrófico","")))))</f>
        <v>Moderado</v>
      </c>
      <c r="Q28" s="385">
        <f ca="1">IF(P28="","",IF(P28="Leve",0.2,IF(P28="Menor",0.4,IF(P28="Moderado",0.6,IF(P28="Mayor",0.8,IF(P28="Catastrófico",1,))))))</f>
        <v>0.6</v>
      </c>
      <c r="R28" s="387" t="str">
        <f ca="1">IF(OR(AND(L28="Muy Baja",P28="Leve"),AND(L28="Muy Baja",P28="Menor"),AND(L28="Baja",P28="Leve")),"Bajo",IF(OR(AND(L28="Muy baja",P28="Moderado"),AND(L28="Baja",P28="Menor"),AND(L28="Baja",P28="Moderado"),AND(L28="Media",P28="Leve"),AND(L28="Media",P28="Menor"),AND(L28="Media",P28="Moderado"),AND(L28="Alta",P28="Leve"),AND(L28="Alta",P28="Menor")),"Moderado",IF(OR(AND(L28="Muy Baja",P28="Mayor"),AND(L28="Baja",P28="Mayor"),AND(L28="Media",P28="Mayor"),AND(L28="Alta",P28="Moderado"),AND(L28="Alta",P28="Mayor"),AND(L28="Muy Alta",P28="Leve"),AND(L28="Muy Alta",P28="Menor"),AND(L28="Muy Alta",P28="Moderado"),AND(L28="Muy Alta",P28="Mayor")),"Alto",IF(OR(AND(L28="Muy Baja",P28="Catastrófico"),AND(L28="Baja",P28="Catastrófico"),AND(L28="Media",P28="Catastrófico"),AND(L28="Alta",P28="Catastrófico"),AND(L28="Muy Alta",P28="Catastrófico")),"Extremo",""))))</f>
        <v>Moderado</v>
      </c>
      <c r="S28" s="412">
        <v>1</v>
      </c>
      <c r="T28" s="389" t="s">
        <v>303</v>
      </c>
      <c r="U28" s="390" t="s">
        <v>14</v>
      </c>
      <c r="V28" s="390" t="s">
        <v>9</v>
      </c>
      <c r="W28" s="391" t="str">
        <f>IF(AND(U28="Preventivo",V28="Automático"),"50%",IF(AND(U28="Preventivo",V28="Manual"),"40%",IF(AND(U28="Detectivo",V28="Automático"),"40%",IF(AND(U28="Detectivo",V28="Manual"),"30%",IF(AND(U28="Correctivo",V28="Automático"),"35%",IF(AND(U28="Correctivo",V28="Manual"),"25%",""))))))</f>
        <v>40%</v>
      </c>
      <c r="X28" s="390" t="s">
        <v>20</v>
      </c>
      <c r="Y28" s="390" t="s">
        <v>23</v>
      </c>
      <c r="Z28" s="390" t="s">
        <v>117</v>
      </c>
      <c r="AA28" s="392">
        <f>IFERROR(IF(AB28="Probabilidad",(M28-(+M28*W28)),IF(AB28="Impacto",M28,"")),"")</f>
        <v>0.36</v>
      </c>
      <c r="AB28" s="392" t="str">
        <f t="shared" si="2"/>
        <v>Probabilidad</v>
      </c>
      <c r="AC28" s="393" t="s">
        <v>299</v>
      </c>
      <c r="AD28" s="393" t="s">
        <v>301</v>
      </c>
      <c r="AE28" s="393" t="s">
        <v>286</v>
      </c>
      <c r="AF28" s="394" t="s">
        <v>248</v>
      </c>
      <c r="AG28" s="395" t="str">
        <f t="shared" si="8"/>
        <v>Baja</v>
      </c>
      <c r="AH28" s="396">
        <f t="shared" si="13"/>
        <v>0.36</v>
      </c>
      <c r="AI28" s="395" t="str">
        <f t="shared" ca="1" si="5"/>
        <v>Moderado</v>
      </c>
      <c r="AJ28" s="396">
        <f ca="1">IFERROR(IF(AB28="Impacto",(Q28-(+Q28*W28)),IF(AB28="Probabilidad",Q28,"")),"")</f>
        <v>0.6</v>
      </c>
      <c r="AK28" s="397" t="str">
        <f ca="1">IFERROR(IF(OR(AND(AG28="Muy Baja",AI28="Leve"),AND(AG28="Muy Baja",AI28="Menor"),AND(AG28="Baja",AI28="Leve")),"Bajo",IF(OR(AND(AG28="Muy baja",AI28="Moderado"),AND(AG28="Baja",AI28="Menor"),AND(AG28="Baja",AI28="Moderado"),AND(AG28="Media",AI28="Leve"),AND(AG28="Media",AI28="Menor"),AND(AG28="Media",AI28="Moderado"),AND(AG28="Alta",AI28="Leve"),AND(AG28="Alta",AI28="Menor")),"Moderado",IF(OR(AND(AG28="Muy Baja",AI28="Mayor"),AND(AG28="Baja",AI28="Mayor"),AND(AG28="Media",AI28="Mayor"),AND(AG28="Alta",AI28="Moderado"),AND(AG28="Alta",AI28="Mayor"),AND(AG28="Muy Alta",AI28="Leve"),AND(AG28="Muy Alta",AI28="Menor"),AND(AG28="Muy Alta",AI28="Moderado"),AND(AG28="Muy Alta",AI28="Mayor")),"Alto",IF(OR(AND(AG28="Muy Baja",AI28="Catastrófico"),AND(AG28="Baja",AI28="Catastrófico"),AND(AG28="Media",AI28="Catastrófico"),AND(AG28="Alta",AI28="Catastrófico"),AND(AG28="Muy Alta",AI28="Catastrófico")),"Extremo","")))),"")</f>
        <v>Moderado</v>
      </c>
      <c r="AL28" s="398" t="s">
        <v>132</v>
      </c>
      <c r="AM28" s="399" t="s">
        <v>323</v>
      </c>
      <c r="AN28" s="399" t="s">
        <v>301</v>
      </c>
      <c r="AO28" s="400" t="s">
        <v>481</v>
      </c>
      <c r="AP28" s="400" t="s">
        <v>482</v>
      </c>
      <c r="AQ28" s="400" t="s">
        <v>483</v>
      </c>
      <c r="AR28" s="401">
        <v>44287</v>
      </c>
      <c r="AS28" s="401">
        <v>44348</v>
      </c>
      <c r="AT28" s="399" t="s">
        <v>302</v>
      </c>
      <c r="AU28" s="388" t="s">
        <v>41</v>
      </c>
      <c r="AV28" s="348"/>
      <c r="AW28" s="348"/>
      <c r="AX28" s="348"/>
      <c r="AY28" s="348"/>
      <c r="AZ28" s="348"/>
      <c r="BA28" s="348"/>
      <c r="BB28" s="348"/>
      <c r="BC28" s="348"/>
      <c r="BD28" s="348"/>
      <c r="BE28" s="348"/>
      <c r="BF28" s="348"/>
      <c r="BG28" s="348"/>
      <c r="BH28" s="348"/>
      <c r="BI28" s="348"/>
      <c r="BJ28" s="348"/>
      <c r="BK28" s="348"/>
      <c r="BL28" s="348"/>
      <c r="BM28" s="348"/>
      <c r="BN28" s="348"/>
      <c r="BO28" s="348"/>
      <c r="BP28" s="348"/>
      <c r="BQ28" s="348"/>
      <c r="BR28" s="348"/>
      <c r="BS28" s="348"/>
      <c r="BT28" s="348"/>
      <c r="BU28" s="348"/>
      <c r="BV28" s="348"/>
      <c r="BW28" s="348"/>
      <c r="BX28" s="348"/>
      <c r="BY28" s="348"/>
      <c r="BZ28" s="348"/>
      <c r="CA28" s="348"/>
    </row>
    <row r="29" spans="1:79" ht="60" customHeight="1" x14ac:dyDescent="0.25">
      <c r="A29" s="404"/>
      <c r="B29" s="405"/>
      <c r="C29" s="405"/>
      <c r="D29" s="406"/>
      <c r="E29" s="406"/>
      <c r="F29" s="406"/>
      <c r="G29" s="407"/>
      <c r="H29" s="406"/>
      <c r="I29" s="406"/>
      <c r="J29" s="406"/>
      <c r="K29" s="404"/>
      <c r="L29" s="408"/>
      <c r="M29" s="409"/>
      <c r="N29" s="410"/>
      <c r="O29" s="409">
        <f t="shared" ref="O29:O33" ca="1" si="20">IF(NOT(ISERROR(MATCH(N29,_xlfn.ANCHORARRAY(G40),0))),M42&amp;"Por favor no seleccionar los criterios de impacto",N29)</f>
        <v>0</v>
      </c>
      <c r="P29" s="408"/>
      <c r="Q29" s="409"/>
      <c r="R29" s="411"/>
      <c r="S29" s="412">
        <v>2</v>
      </c>
      <c r="T29" s="389" t="s">
        <v>322</v>
      </c>
      <c r="U29" s="414" t="s">
        <v>14</v>
      </c>
      <c r="V29" s="390" t="s">
        <v>9</v>
      </c>
      <c r="W29" s="391" t="str">
        <f t="shared" ref="W29:W33" si="21">IF(AND(U29="Preventivo",V29="Automático"),"50%",IF(AND(U29="Preventivo",V29="Manual"),"40%",IF(AND(U29="Detectivo",V29="Automático"),"40%",IF(AND(U29="Detectivo",V29="Manual"),"30%",IF(AND(U29="Correctivo",V29="Automático"),"35%",IF(AND(U29="Correctivo",V29="Manual"),"25%",""))))))</f>
        <v>40%</v>
      </c>
      <c r="X29" s="414" t="s">
        <v>19</v>
      </c>
      <c r="Y29" s="414" t="s">
        <v>23</v>
      </c>
      <c r="Z29" s="414" t="s">
        <v>117</v>
      </c>
      <c r="AA29" s="392">
        <f>IFERROR(IF(AND(AB28="Probabilidad",AB29="Probabilidad"),(AH28-(+AH28*W29)),IF(AB29="Probabilidad",(M28-(+M28*W29)),IF(AB29="Impacto",AH28,""))),"")</f>
        <v>0.216</v>
      </c>
      <c r="AB29" s="392" t="str">
        <f t="shared" si="2"/>
        <v>Probabilidad</v>
      </c>
      <c r="AC29" s="393" t="s">
        <v>348</v>
      </c>
      <c r="AD29" s="393" t="s">
        <v>301</v>
      </c>
      <c r="AE29" s="393" t="s">
        <v>286</v>
      </c>
      <c r="AF29" s="394" t="s">
        <v>248</v>
      </c>
      <c r="AG29" s="395" t="str">
        <f t="shared" si="8"/>
        <v>Baja</v>
      </c>
      <c r="AH29" s="396">
        <f t="shared" si="13"/>
        <v>0.216</v>
      </c>
      <c r="AI29" s="395" t="str">
        <f t="shared" ca="1" si="5"/>
        <v>Moderado</v>
      </c>
      <c r="AJ29" s="396">
        <f ca="1">IFERROR(IF(AND(AB28="Impacto",AB29="Impacto"),(AJ28-(+AJ28*W29)),IF(AB29="Impacto",($Q$10-(+$Q$10*AB29)),IF(AB29="Probabilidad",AJ28,""))),"")</f>
        <v>0.6</v>
      </c>
      <c r="AK29" s="397" t="str">
        <f ca="1">IFERROR(IF(OR(AND(AG29="Muy Baja",AI29="Leve"),AND(AG29="Muy Baja",AI29="Menor"),AND(AG29="Baja",AI29="Leve")),"Bajo",IF(OR(AND(AG29="Muy baja",AI29="Moderado"),AND(AG29="Baja",AI29="Menor"),AND(AG29="Baja",AI29="Moderado"),AND(AG29="Media",AI29="Leve"),AND(AG29="Media",AI29="Menor"),AND(AG29="Media",AI29="Moderado"),AND(AG29="Alta",AI29="Leve"),AND(AG29="Alta",AI29="Menor")),"Moderado",IF(OR(AND(AG29="Muy Baja",AI29="Mayor"),AND(AG29="Baja",AI29="Mayor"),AND(AG29="Media",AI29="Mayor"),AND(AG29="Alta",AI29="Moderado"),AND(AG29="Alta",AI29="Mayor"),AND(AG29="Muy Alta",AI29="Leve"),AND(AG29="Muy Alta",AI29="Menor"),AND(AG29="Muy Alta",AI29="Moderado"),AND(AG29="Muy Alta",AI29="Mayor")),"Alto",IF(OR(AND(AG29="Muy Baja",AI29="Catastrófico"),AND(AG29="Baja",AI29="Catastrófico"),AND(AG29="Media",AI29="Catastrófico"),AND(AG29="Alta",AI29="Catastrófico"),AND(AG29="Muy Alta",AI29="Catastrófico")),"Extremo","")))),"")</f>
        <v>Moderado</v>
      </c>
      <c r="AL29" s="398" t="s">
        <v>31</v>
      </c>
      <c r="AM29" s="399"/>
      <c r="AN29" s="399"/>
      <c r="AO29" s="400"/>
      <c r="AP29" s="400"/>
      <c r="AQ29" s="400"/>
      <c r="AR29" s="401"/>
      <c r="AS29" s="401"/>
      <c r="AT29" s="399"/>
      <c r="AU29" s="388"/>
      <c r="AV29" s="348"/>
      <c r="AW29" s="348"/>
      <c r="AX29" s="348"/>
      <c r="AY29" s="348"/>
      <c r="AZ29" s="348"/>
      <c r="BA29" s="348"/>
      <c r="BB29" s="348"/>
      <c r="BC29" s="348"/>
      <c r="BD29" s="348"/>
      <c r="BE29" s="348"/>
      <c r="BF29" s="348"/>
      <c r="BG29" s="348"/>
      <c r="BH29" s="348"/>
      <c r="BI29" s="348"/>
      <c r="BJ29" s="348"/>
      <c r="BK29" s="348"/>
      <c r="BL29" s="348"/>
      <c r="BM29" s="348"/>
      <c r="BN29" s="348"/>
      <c r="BO29" s="348"/>
      <c r="BP29" s="348"/>
      <c r="BQ29" s="348"/>
      <c r="BR29" s="348"/>
      <c r="BS29" s="348"/>
      <c r="BT29" s="348"/>
      <c r="BU29" s="348"/>
      <c r="BV29" s="348"/>
      <c r="BW29" s="348"/>
      <c r="BX29" s="348"/>
      <c r="BY29" s="348"/>
      <c r="BZ29" s="348"/>
      <c r="CA29" s="348"/>
    </row>
    <row r="30" spans="1:79" ht="45.75" customHeight="1" x14ac:dyDescent="0.25">
      <c r="A30" s="404"/>
      <c r="B30" s="405"/>
      <c r="C30" s="405"/>
      <c r="D30" s="406"/>
      <c r="E30" s="406"/>
      <c r="F30" s="406"/>
      <c r="G30" s="407"/>
      <c r="H30" s="406"/>
      <c r="I30" s="406"/>
      <c r="J30" s="406"/>
      <c r="K30" s="404"/>
      <c r="L30" s="408"/>
      <c r="M30" s="409"/>
      <c r="N30" s="410"/>
      <c r="O30" s="409">
        <f t="shared" ca="1" si="20"/>
        <v>0</v>
      </c>
      <c r="P30" s="408"/>
      <c r="Q30" s="409"/>
      <c r="R30" s="411"/>
      <c r="S30" s="412">
        <v>3</v>
      </c>
      <c r="T30" s="389"/>
      <c r="U30" s="414"/>
      <c r="V30" s="414"/>
      <c r="W30" s="413" t="str">
        <f t="shared" si="21"/>
        <v/>
      </c>
      <c r="X30" s="414"/>
      <c r="Y30" s="414"/>
      <c r="Z30" s="414"/>
      <c r="AA30" s="415" t="str">
        <f>IFERROR(IF(AND(AB29="Probabilidad",AB30="Probabilidad"),(AH29-(+AH29*W30)),IF(AND(AB29="Impacto",AB30="Probabilidad"),(W29-(+W29*W30)),IF(AB30="Impacto",AB29,""))),"")</f>
        <v/>
      </c>
      <c r="AB30" s="392" t="str">
        <f t="shared" si="2"/>
        <v/>
      </c>
      <c r="AC30" s="393"/>
      <c r="AD30" s="393"/>
      <c r="AE30" s="393"/>
      <c r="AF30" s="394"/>
      <c r="AG30" s="417" t="str">
        <f t="shared" si="8"/>
        <v/>
      </c>
      <c r="AH30" s="416" t="str">
        <f t="shared" si="13"/>
        <v/>
      </c>
      <c r="AI30" s="395" t="str">
        <f t="shared" si="5"/>
        <v/>
      </c>
      <c r="AJ30" s="396" t="str">
        <f>IFERROR(IF(AND(AB29="Impacto",AB30="Impacto"),(AJ29-(+AJ29*W30)),IF(AND(AB29="Probabilidad",AB30="Impacto"),(AJ28-(+AJ28*W30)),IF(AB30="Probabilidad",AJ29,""))),"")</f>
        <v/>
      </c>
      <c r="AK30" s="397" t="str">
        <f>IFERROR(IF(OR(AND(AG30="Muy Baja",AI30="Leve"),AND(AG30="Muy Baja",AI30="Menor"),AND(AG30="Baja",AI30="Leve")),"Bajo",IF(OR(AND(AG30="Muy baja",AI30="Moderado"),AND(AG30="Baja",AI30="Menor"),AND(AG30="Baja",AI30="Moderado"),AND(AG30="Media",AI30="Leve"),AND(AG30="Media",AI30="Menor"),AND(AG30="Media",AI30="Moderado"),AND(AG30="Alta",AI30="Leve"),AND(AG30="Alta",AI30="Menor")),"Moderado",IF(OR(AND(AG30="Muy Baja",AI30="Mayor"),AND(AG30="Baja",AI30="Mayor"),AND(AG30="Media",AI30="Mayor"),AND(AG30="Alta",AI30="Moderado"),AND(AG30="Alta",AI30="Mayor"),AND(AG30="Muy Alta",AI30="Leve"),AND(AG30="Muy Alta",AI30="Menor"),AND(AG30="Muy Alta",AI30="Moderado"),AND(AG30="Muy Alta",AI30="Mayor")),"Alto",IF(OR(AND(AG30="Muy Baja",AI30="Catastrófico"),AND(AG30="Baja",AI30="Catastrófico"),AND(AG30="Media",AI30="Catastrófico"),AND(AG30="Alta",AI30="Catastrófico"),AND(AG30="Muy Alta",AI30="Catastrófico")),"Extremo","")))),"")</f>
        <v/>
      </c>
      <c r="AL30" s="398"/>
      <c r="AM30" s="399"/>
      <c r="AN30" s="399"/>
      <c r="AO30" s="400"/>
      <c r="AP30" s="400"/>
      <c r="AQ30" s="400"/>
      <c r="AR30" s="401"/>
      <c r="AS30" s="401"/>
      <c r="AT30" s="399"/>
      <c r="AU30" s="388"/>
      <c r="AV30" s="348"/>
      <c r="AW30" s="348"/>
      <c r="AX30" s="348"/>
      <c r="AY30" s="348"/>
      <c r="AZ30" s="348"/>
      <c r="BA30" s="348"/>
      <c r="BB30" s="348"/>
      <c r="BC30" s="348"/>
      <c r="BD30" s="348"/>
      <c r="BE30" s="348"/>
      <c r="BF30" s="348"/>
      <c r="BG30" s="348"/>
      <c r="BH30" s="348"/>
      <c r="BI30" s="348"/>
      <c r="BJ30" s="348"/>
      <c r="BK30" s="348"/>
      <c r="BL30" s="348"/>
      <c r="BM30" s="348"/>
      <c r="BN30" s="348"/>
      <c r="BO30" s="348"/>
      <c r="BP30" s="348"/>
      <c r="BQ30" s="348"/>
      <c r="BR30" s="348"/>
      <c r="BS30" s="348"/>
      <c r="BT30" s="348"/>
      <c r="BU30" s="348"/>
      <c r="BV30" s="348"/>
      <c r="BW30" s="348"/>
      <c r="BX30" s="348"/>
      <c r="BY30" s="348"/>
      <c r="BZ30" s="348"/>
      <c r="CA30" s="348"/>
    </row>
    <row r="31" spans="1:79" ht="45.75" customHeight="1" x14ac:dyDescent="0.25">
      <c r="A31" s="404"/>
      <c r="B31" s="405"/>
      <c r="C31" s="405"/>
      <c r="D31" s="406"/>
      <c r="E31" s="406"/>
      <c r="F31" s="406"/>
      <c r="G31" s="407"/>
      <c r="H31" s="406"/>
      <c r="I31" s="406"/>
      <c r="J31" s="406"/>
      <c r="K31" s="404"/>
      <c r="L31" s="408"/>
      <c r="M31" s="409"/>
      <c r="N31" s="410"/>
      <c r="O31" s="409">
        <f t="shared" ca="1" si="20"/>
        <v>0</v>
      </c>
      <c r="P31" s="408"/>
      <c r="Q31" s="409"/>
      <c r="R31" s="411"/>
      <c r="S31" s="412">
        <v>4</v>
      </c>
      <c r="T31" s="389"/>
      <c r="U31" s="414"/>
      <c r="V31" s="414"/>
      <c r="W31" s="413" t="str">
        <f t="shared" si="21"/>
        <v/>
      </c>
      <c r="X31" s="414"/>
      <c r="Y31" s="414"/>
      <c r="Z31" s="414"/>
      <c r="AA31" s="415" t="str">
        <f>IFERROR(IF(AND(AB30="Probabilidad",AB31="Probabilidad"),(AH30-(+AH30*W31)),IF(AND(AB30="Impacto",AB31="Probabilidad"),(W30-(+W30*W31)),IF(AB31="Impacto",AB30,""))),"")</f>
        <v/>
      </c>
      <c r="AB31" s="392" t="str">
        <f t="shared" si="2"/>
        <v/>
      </c>
      <c r="AC31" s="393"/>
      <c r="AD31" s="393"/>
      <c r="AE31" s="393"/>
      <c r="AF31" s="394"/>
      <c r="AG31" s="417" t="str">
        <f t="shared" si="8"/>
        <v/>
      </c>
      <c r="AH31" s="416" t="str">
        <f t="shared" si="13"/>
        <v/>
      </c>
      <c r="AI31" s="395" t="str">
        <f t="shared" si="5"/>
        <v/>
      </c>
      <c r="AJ31" s="396" t="str">
        <f>IFERROR(IF(AND(AB30="Impacto",AB31="Impacto"),(AJ30-(+AJ30*W31)),IF(AND(AB30="Probabilidad",AB31="Impacto"),(AJ29-(+AJ29*W31)),IF(AB31="Probabilidad",AJ30,""))),"")</f>
        <v/>
      </c>
      <c r="AK31" s="397" t="str">
        <f t="shared" ref="AK31:AK33" si="22">IFERROR(IF(OR(AND(AG31="Muy Baja",AI31="Leve"),AND(AG31="Muy Baja",AI31="Menor"),AND(AG31="Baja",AI31="Leve")),"Bajo",IF(OR(AND(AG31="Muy baja",AI31="Moderado"),AND(AG31="Baja",AI31="Menor"),AND(AG31="Baja",AI31="Moderado"),AND(AG31="Media",AI31="Leve"),AND(AG31="Media",AI31="Menor"),AND(AG31="Media",AI31="Moderado"),AND(AG31="Alta",AI31="Leve"),AND(AG31="Alta",AI31="Menor")),"Moderado",IF(OR(AND(AG31="Muy Baja",AI31="Mayor"),AND(AG31="Baja",AI31="Mayor"),AND(AG31="Media",AI31="Mayor"),AND(AG31="Alta",AI31="Moderado"),AND(AG31="Alta",AI31="Mayor"),AND(AG31="Muy Alta",AI31="Leve"),AND(AG31="Muy Alta",AI31="Menor"),AND(AG31="Muy Alta",AI31="Moderado"),AND(AG31="Muy Alta",AI31="Mayor")),"Alto",IF(OR(AND(AG31="Muy Baja",AI31="Catastrófico"),AND(AG31="Baja",AI31="Catastrófico"),AND(AG31="Media",AI31="Catastrófico"),AND(AG31="Alta",AI31="Catastrófico"),AND(AG31="Muy Alta",AI31="Catastrófico")),"Extremo","")))),"")</f>
        <v/>
      </c>
      <c r="AL31" s="398"/>
      <c r="AM31" s="399"/>
      <c r="AN31" s="399"/>
      <c r="AO31" s="400"/>
      <c r="AP31" s="400"/>
      <c r="AQ31" s="400"/>
      <c r="AR31" s="401"/>
      <c r="AS31" s="401"/>
      <c r="AT31" s="399"/>
      <c r="AU31" s="388"/>
      <c r="AV31" s="348"/>
      <c r="AW31" s="348"/>
      <c r="AX31" s="348"/>
      <c r="AY31" s="348"/>
      <c r="AZ31" s="348"/>
      <c r="BA31" s="348"/>
      <c r="BB31" s="348"/>
      <c r="BC31" s="348"/>
      <c r="BD31" s="348"/>
      <c r="BE31" s="348"/>
      <c r="BF31" s="348"/>
      <c r="BG31" s="348"/>
      <c r="BH31" s="348"/>
      <c r="BI31" s="348"/>
      <c r="BJ31" s="348"/>
      <c r="BK31" s="348"/>
      <c r="BL31" s="348"/>
      <c r="BM31" s="348"/>
      <c r="BN31" s="348"/>
      <c r="BO31" s="348"/>
      <c r="BP31" s="348"/>
      <c r="BQ31" s="348"/>
      <c r="BR31" s="348"/>
      <c r="BS31" s="348"/>
      <c r="BT31" s="348"/>
      <c r="BU31" s="348"/>
      <c r="BV31" s="348"/>
      <c r="BW31" s="348"/>
      <c r="BX31" s="348"/>
      <c r="BY31" s="348"/>
      <c r="BZ31" s="348"/>
      <c r="CA31" s="348"/>
    </row>
    <row r="32" spans="1:79" ht="45.75" customHeight="1" x14ac:dyDescent="0.25">
      <c r="A32" s="404"/>
      <c r="B32" s="405"/>
      <c r="C32" s="405"/>
      <c r="D32" s="406"/>
      <c r="E32" s="406"/>
      <c r="F32" s="406"/>
      <c r="G32" s="407"/>
      <c r="H32" s="406"/>
      <c r="I32" s="406"/>
      <c r="J32" s="406"/>
      <c r="K32" s="404"/>
      <c r="L32" s="408"/>
      <c r="M32" s="409"/>
      <c r="N32" s="410"/>
      <c r="O32" s="409">
        <f t="shared" ca="1" si="20"/>
        <v>0</v>
      </c>
      <c r="P32" s="408"/>
      <c r="Q32" s="409"/>
      <c r="R32" s="411"/>
      <c r="S32" s="412">
        <v>5</v>
      </c>
      <c r="T32" s="389"/>
      <c r="U32" s="414"/>
      <c r="V32" s="414"/>
      <c r="W32" s="413" t="str">
        <f t="shared" si="21"/>
        <v/>
      </c>
      <c r="X32" s="414"/>
      <c r="Y32" s="414"/>
      <c r="Z32" s="414"/>
      <c r="AA32" s="415" t="str">
        <f>IFERROR(IF(AND(AB31="Probabilidad",AB32="Probabilidad"),(AH31-(+AH31*W32)),IF(AND(AB31="Impacto",AB32="Probabilidad"),(W31-(+W31*W32)),IF(AB32="Impacto",AB31,""))),"")</f>
        <v/>
      </c>
      <c r="AB32" s="392" t="str">
        <f t="shared" si="2"/>
        <v/>
      </c>
      <c r="AC32" s="393"/>
      <c r="AD32" s="393"/>
      <c r="AE32" s="393"/>
      <c r="AF32" s="394"/>
      <c r="AG32" s="417" t="str">
        <f t="shared" si="8"/>
        <v/>
      </c>
      <c r="AH32" s="416" t="str">
        <f t="shared" si="13"/>
        <v/>
      </c>
      <c r="AI32" s="395" t="str">
        <f t="shared" si="5"/>
        <v/>
      </c>
      <c r="AJ32" s="396" t="str">
        <f>IFERROR(IF(AND(AB31="Impacto",AB32="Impacto"),(AJ31-(+AJ31*W32)),IF(AND(AB31="Probabilidad",AB32="Impacto"),(AJ30-(+AJ30*W32)),IF(AB32="Probabilidad",AJ31,""))),"")</f>
        <v/>
      </c>
      <c r="AK32" s="397" t="str">
        <f t="shared" si="22"/>
        <v/>
      </c>
      <c r="AL32" s="398"/>
      <c r="AM32" s="399"/>
      <c r="AN32" s="399"/>
      <c r="AO32" s="400"/>
      <c r="AP32" s="400"/>
      <c r="AQ32" s="400"/>
      <c r="AR32" s="401"/>
      <c r="AS32" s="401"/>
      <c r="AT32" s="399"/>
      <c r="AU32" s="388"/>
      <c r="AV32" s="348"/>
      <c r="AW32" s="348"/>
      <c r="AX32" s="348"/>
      <c r="AY32" s="348"/>
      <c r="AZ32" s="348"/>
      <c r="BA32" s="348"/>
      <c r="BB32" s="348"/>
      <c r="BC32" s="348"/>
      <c r="BD32" s="348"/>
      <c r="BE32" s="348"/>
      <c r="BF32" s="348"/>
      <c r="BG32" s="348"/>
      <c r="BH32" s="348"/>
      <c r="BI32" s="348"/>
      <c r="BJ32" s="348"/>
      <c r="BK32" s="348"/>
      <c r="BL32" s="348"/>
      <c r="BM32" s="348"/>
      <c r="BN32" s="348"/>
      <c r="BO32" s="348"/>
      <c r="BP32" s="348"/>
      <c r="BQ32" s="348"/>
      <c r="BR32" s="348"/>
      <c r="BS32" s="348"/>
      <c r="BT32" s="348"/>
      <c r="BU32" s="348"/>
      <c r="BV32" s="348"/>
      <c r="BW32" s="348"/>
      <c r="BX32" s="348"/>
      <c r="BY32" s="348"/>
      <c r="BZ32" s="348"/>
      <c r="CA32" s="348"/>
    </row>
    <row r="33" spans="1:79" ht="45.75" customHeight="1" x14ac:dyDescent="0.25">
      <c r="A33" s="418"/>
      <c r="B33" s="419"/>
      <c r="C33" s="419"/>
      <c r="D33" s="420"/>
      <c r="E33" s="420"/>
      <c r="F33" s="420"/>
      <c r="G33" s="421"/>
      <c r="H33" s="420"/>
      <c r="I33" s="420"/>
      <c r="J33" s="420"/>
      <c r="K33" s="418"/>
      <c r="L33" s="422"/>
      <c r="M33" s="423"/>
      <c r="N33" s="424"/>
      <c r="O33" s="423">
        <f t="shared" ca="1" si="20"/>
        <v>0</v>
      </c>
      <c r="P33" s="422"/>
      <c r="Q33" s="423"/>
      <c r="R33" s="425"/>
      <c r="S33" s="412">
        <v>6</v>
      </c>
      <c r="T33" s="389"/>
      <c r="U33" s="414"/>
      <c r="V33" s="414"/>
      <c r="W33" s="413" t="str">
        <f t="shared" si="21"/>
        <v/>
      </c>
      <c r="X33" s="414"/>
      <c r="Y33" s="414"/>
      <c r="Z33" s="414"/>
      <c r="AA33" s="415" t="str">
        <f>IFERROR(IF(AND(AB32="Probabilidad",AB33="Probabilidad"),(AH32-(+AH32*W33)),IF(AND(AB32="Impacto",AB33="Probabilidad"),(W32-(+W32*W33)),IF(AB33="Impacto",AB32,""))),"")</f>
        <v/>
      </c>
      <c r="AB33" s="392" t="str">
        <f t="shared" si="2"/>
        <v/>
      </c>
      <c r="AC33" s="393"/>
      <c r="AD33" s="393"/>
      <c r="AE33" s="393"/>
      <c r="AF33" s="394"/>
      <c r="AG33" s="417" t="str">
        <f t="shared" si="8"/>
        <v/>
      </c>
      <c r="AH33" s="416" t="str">
        <f t="shared" si="13"/>
        <v/>
      </c>
      <c r="AI33" s="395" t="str">
        <f t="shared" si="5"/>
        <v/>
      </c>
      <c r="AJ33" s="396" t="str">
        <f>IFERROR(IF(AND(AB32="Impacto",AB33="Impacto"),(AJ32-(+AJ32*W33)),IF(AND(AB32="Probabilidad",AB33="Impacto"),(AJ31-(+AJ31*W33)),IF(AB33="Probabilidad",AJ32,""))),"")</f>
        <v/>
      </c>
      <c r="AK33" s="397" t="str">
        <f t="shared" si="22"/>
        <v/>
      </c>
      <c r="AL33" s="398"/>
      <c r="AM33" s="399"/>
      <c r="AN33" s="399"/>
      <c r="AO33" s="400"/>
      <c r="AP33" s="400"/>
      <c r="AQ33" s="400"/>
      <c r="AR33" s="401"/>
      <c r="AS33" s="401"/>
      <c r="AT33" s="399"/>
      <c r="AU33" s="388"/>
      <c r="AV33" s="348"/>
      <c r="AW33" s="348"/>
      <c r="AX33" s="348"/>
      <c r="AY33" s="348"/>
      <c r="AZ33" s="348"/>
      <c r="BA33" s="348"/>
      <c r="BB33" s="348"/>
      <c r="BC33" s="348"/>
      <c r="BD33" s="348"/>
      <c r="BE33" s="348"/>
      <c r="BF33" s="348"/>
      <c r="BG33" s="348"/>
      <c r="BH33" s="348"/>
      <c r="BI33" s="348"/>
      <c r="BJ33" s="348"/>
      <c r="BK33" s="348"/>
      <c r="BL33" s="348"/>
      <c r="BM33" s="348"/>
      <c r="BN33" s="348"/>
      <c r="BO33" s="348"/>
      <c r="BP33" s="348"/>
      <c r="BQ33" s="348"/>
      <c r="BR33" s="348"/>
      <c r="BS33" s="348"/>
      <c r="BT33" s="348"/>
      <c r="BU33" s="348"/>
      <c r="BV33" s="348"/>
      <c r="BW33" s="348"/>
      <c r="BX33" s="348"/>
      <c r="BY33" s="348"/>
      <c r="BZ33" s="348"/>
      <c r="CA33" s="348"/>
    </row>
    <row r="34" spans="1:79" ht="78" x14ac:dyDescent="0.25">
      <c r="A34" s="380">
        <v>6</v>
      </c>
      <c r="B34" s="381" t="s">
        <v>326</v>
      </c>
      <c r="C34" s="381" t="s">
        <v>218</v>
      </c>
      <c r="D34" s="382" t="s">
        <v>130</v>
      </c>
      <c r="E34" s="382" t="s">
        <v>306</v>
      </c>
      <c r="F34" s="382" t="s">
        <v>315</v>
      </c>
      <c r="G34" s="383" t="s">
        <v>304</v>
      </c>
      <c r="H34" s="382" t="s">
        <v>126</v>
      </c>
      <c r="I34" s="382" t="s">
        <v>239</v>
      </c>
      <c r="J34" s="382" t="s">
        <v>305</v>
      </c>
      <c r="K34" s="380" t="s">
        <v>101</v>
      </c>
      <c r="L34" s="384" t="str">
        <f>IF(K34&lt;=0,"",IF(K34&lt;="La actividad que conlleva el riesgo se ejecuta como máximos 2 veces por año","Muy Baja",IF(K34="La actividad que conlleva el riesgo se ejecuta de 3 a 24 veces por año","Baja",IF(K34="La actividad que conlleva el riesgo se ejecuta de 24 a 500 veces por año","Media",IF(K34="La actividad que conlleva el riesgo se ejecuta mínimo 500 veces al año y máximo 5000 veces por año","Alta","Muy Alta")))))</f>
        <v>Baja</v>
      </c>
      <c r="M34" s="385">
        <f>IF(L34="","",IF(L34="Muy Baja",0.2,IF(L34="Baja",0.4,IF(L34="Media",0.6,IF(L34="Alta",0.8,IF(L34="Muy Alta",1,))))))</f>
        <v>0.4</v>
      </c>
      <c r="N34" s="386" t="s">
        <v>149</v>
      </c>
      <c r="O34" s="385" t="str">
        <f ca="1">IF(NOT(ISERROR(MATCH(N34,'Tabla Impacto'!$B$221:$B$223,0))),'Tabla Impacto'!$F$223&amp;"Por favor no seleccionar los criterios de impacto(Afectación Económica o presupuestal y Pérdida Reputacional)",N34)</f>
        <v xml:space="preserve">     El riesgo afecta la imagen de la entidad con algunos usuarios de relevancia frente al logro de los objetivos</v>
      </c>
      <c r="P34" s="384" t="str">
        <f ca="1">IF(OR(O34='Tabla Impacto'!$C$11,O34='Tabla Impacto'!$D$11),"Leve",IF(OR(O34='Tabla Impacto'!$C$12,O34='Tabla Impacto'!$D$12),"Menor",IF(OR(O34='Tabla Impacto'!$C$13,O34='Tabla Impacto'!$D$13),"Moderado",IF(OR(O34='Tabla Impacto'!$C$14,O34='Tabla Impacto'!$D$14),"Mayor",IF(OR(O34='Tabla Impacto'!$C$15,O34='Tabla Impacto'!$D$15),"Catastrófico","")))))</f>
        <v>Moderado</v>
      </c>
      <c r="Q34" s="385">
        <f ca="1">IF(P34="","",IF(P34="Leve",0.2,IF(P34="Menor",0.4,IF(P34="Moderado",0.6,IF(P34="Mayor",0.8,IF(P34="Catastrófico",1,))))))</f>
        <v>0.6</v>
      </c>
      <c r="R34" s="387" t="str">
        <f ca="1">IF(OR(AND(L34="Muy Baja",P34="Leve"),AND(L34="Muy Baja",P34="Menor"),AND(L34="Baja",P34="Leve")),"Bajo",IF(OR(AND(L34="Muy baja",P34="Moderado"),AND(L34="Baja",P34="Menor"),AND(L34="Baja",P34="Moderado"),AND(L34="Media",P34="Leve"),AND(L34="Media",P34="Menor"),AND(L34="Media",P34="Moderado"),AND(L34="Alta",P34="Leve"),AND(L34="Alta",P34="Menor")),"Moderado",IF(OR(AND(L34="Muy Baja",P34="Mayor"),AND(L34="Baja",P34="Mayor"),AND(L34="Media",P34="Mayor"),AND(L34="Alta",P34="Moderado"),AND(L34="Alta",P34="Mayor"),AND(L34="Muy Alta",P34="Leve"),AND(L34="Muy Alta",P34="Menor"),AND(L34="Muy Alta",P34="Moderado"),AND(L34="Muy Alta",P34="Mayor")),"Alto",IF(OR(AND(L34="Muy Baja",P34="Catastrófico"),AND(L34="Baja",P34="Catastrófico"),AND(L34="Media",P34="Catastrófico"),AND(L34="Alta",P34="Catastrófico"),AND(L34="Muy Alta",P34="Catastrófico")),"Extremo",""))))</f>
        <v>Moderado</v>
      </c>
      <c r="S34" s="412">
        <v>1</v>
      </c>
      <c r="T34" s="430" t="s">
        <v>307</v>
      </c>
      <c r="U34" s="390" t="s">
        <v>14</v>
      </c>
      <c r="V34" s="390" t="s">
        <v>10</v>
      </c>
      <c r="W34" s="391" t="str">
        <f>IF(AND(U34="Preventivo",V34="Automático"),"50%",IF(AND(U34="Preventivo",V34="Manual"),"40%",IF(AND(U34="Detectivo",V34="Automático"),"40%",IF(AND(U34="Detectivo",V34="Manual"),"30%",IF(AND(U34="Correctivo",V34="Automático"),"35%",IF(AND(U34="Correctivo",V34="Manual"),"25%",""))))))</f>
        <v>50%</v>
      </c>
      <c r="X34" s="390" t="s">
        <v>19</v>
      </c>
      <c r="Y34" s="390" t="s">
        <v>22</v>
      </c>
      <c r="Z34" s="390" t="s">
        <v>117</v>
      </c>
      <c r="AA34" s="392">
        <f>IFERROR(IF(AB34="Probabilidad",(M34-(+M34*W34)),IF(AB34="Impacto",M34,"")),"")</f>
        <v>0.2</v>
      </c>
      <c r="AB34" s="392" t="str">
        <f t="shared" si="2"/>
        <v>Probabilidad</v>
      </c>
      <c r="AC34" s="393" t="s">
        <v>308</v>
      </c>
      <c r="AD34" s="393" t="s">
        <v>300</v>
      </c>
      <c r="AE34" s="393" t="s">
        <v>286</v>
      </c>
      <c r="AF34" s="394" t="s">
        <v>248</v>
      </c>
      <c r="AG34" s="395" t="str">
        <f t="shared" si="8"/>
        <v>Muy Baja</v>
      </c>
      <c r="AH34" s="396">
        <f t="shared" si="13"/>
        <v>0.2</v>
      </c>
      <c r="AI34" s="395" t="str">
        <f t="shared" ca="1" si="5"/>
        <v>Moderado</v>
      </c>
      <c r="AJ34" s="396">
        <f ca="1">IFERROR(IF(AB34="Impacto",(Q34-(+Q34*W34)),IF(AB34="Probabilidad",Q34,"")),"")</f>
        <v>0.6</v>
      </c>
      <c r="AK34" s="397" t="str">
        <f ca="1">IFERROR(IF(OR(AND(AG34="Muy Baja",AI34="Leve"),AND(AG34="Muy Baja",AI34="Menor"),AND(AG34="Baja",AI34="Leve")),"Bajo",IF(OR(AND(AG34="Muy baja",AI34="Moderado"),AND(AG34="Baja",AI34="Menor"),AND(AG34="Baja",AI34="Moderado"),AND(AG34="Media",AI34="Leve"),AND(AG34="Media",AI34="Menor"),AND(AG34="Media",AI34="Moderado"),AND(AG34="Alta",AI34="Leve"),AND(AG34="Alta",AI34="Menor")),"Moderado",IF(OR(AND(AG34="Muy Baja",AI34="Mayor"),AND(AG34="Baja",AI34="Mayor"),AND(AG34="Media",AI34="Mayor"),AND(AG34="Alta",AI34="Moderado"),AND(AG34="Alta",AI34="Mayor"),AND(AG34="Muy Alta",AI34="Leve"),AND(AG34="Muy Alta",AI34="Menor"),AND(AG34="Muy Alta",AI34="Moderado"),AND(AG34="Muy Alta",AI34="Mayor")),"Alto",IF(OR(AND(AG34="Muy Baja",AI34="Catastrófico"),AND(AG34="Baja",AI34="Catastrófico"),AND(AG34="Media",AI34="Catastrófico"),AND(AG34="Alta",AI34="Catastrófico"),AND(AG34="Muy Alta",AI34="Catastrófico")),"Extremo","")))),"")</f>
        <v>Moderado</v>
      </c>
      <c r="AL34" s="398" t="s">
        <v>132</v>
      </c>
      <c r="AM34" s="399" t="s">
        <v>310</v>
      </c>
      <c r="AN34" s="399" t="s">
        <v>300</v>
      </c>
      <c r="AO34" s="400" t="s">
        <v>530</v>
      </c>
      <c r="AP34" s="400" t="s">
        <v>458</v>
      </c>
      <c r="AQ34" s="400" t="s">
        <v>459</v>
      </c>
      <c r="AR34" s="401">
        <v>44866</v>
      </c>
      <c r="AS34" s="401" t="s">
        <v>311</v>
      </c>
      <c r="AT34" s="399" t="s">
        <v>300</v>
      </c>
      <c r="AU34" s="388" t="s">
        <v>41</v>
      </c>
      <c r="AV34" s="348"/>
      <c r="AW34" s="348"/>
      <c r="AX34" s="348"/>
      <c r="AY34" s="348"/>
      <c r="AZ34" s="348"/>
      <c r="BA34" s="348"/>
      <c r="BB34" s="348"/>
      <c r="BC34" s="348"/>
      <c r="BD34" s="348"/>
      <c r="BE34" s="348"/>
      <c r="BF34" s="348"/>
      <c r="BG34" s="348"/>
      <c r="BH34" s="348"/>
      <c r="BI34" s="348"/>
      <c r="BJ34" s="348"/>
      <c r="BK34" s="348"/>
      <c r="BL34" s="348"/>
      <c r="BM34" s="348"/>
      <c r="BN34" s="348"/>
      <c r="BO34" s="348"/>
      <c r="BP34" s="348"/>
      <c r="BQ34" s="348"/>
      <c r="BR34" s="348"/>
      <c r="BS34" s="348"/>
      <c r="BT34" s="348"/>
      <c r="BU34" s="348"/>
      <c r="BV34" s="348"/>
      <c r="BW34" s="348"/>
      <c r="BX34" s="348"/>
      <c r="BY34" s="348"/>
      <c r="BZ34" s="348"/>
      <c r="CA34" s="348"/>
    </row>
    <row r="35" spans="1:79" ht="78" x14ac:dyDescent="0.25">
      <c r="A35" s="404"/>
      <c r="B35" s="405"/>
      <c r="C35" s="405"/>
      <c r="D35" s="406"/>
      <c r="E35" s="406"/>
      <c r="F35" s="406"/>
      <c r="G35" s="407"/>
      <c r="H35" s="406"/>
      <c r="I35" s="406"/>
      <c r="J35" s="406"/>
      <c r="K35" s="404"/>
      <c r="L35" s="408"/>
      <c r="M35" s="409"/>
      <c r="N35" s="410"/>
      <c r="O35" s="409">
        <f t="shared" ref="O35:O39" ca="1" si="23">IF(NOT(ISERROR(MATCH(N35,_xlfn.ANCHORARRAY(G46),0))),M48&amp;"Por favor no seleccionar los criterios de impacto",N35)</f>
        <v>0</v>
      </c>
      <c r="P35" s="408"/>
      <c r="Q35" s="409"/>
      <c r="R35" s="411"/>
      <c r="S35" s="412">
        <v>2</v>
      </c>
      <c r="T35" s="430" t="s">
        <v>309</v>
      </c>
      <c r="U35" s="414" t="s">
        <v>14</v>
      </c>
      <c r="V35" s="414" t="s">
        <v>10</v>
      </c>
      <c r="W35" s="391" t="str">
        <f t="shared" ref="W35:W39" si="24">IF(AND(U35="Preventivo",V35="Automático"),"50%",IF(AND(U35="Preventivo",V35="Manual"),"40%",IF(AND(U35="Detectivo",V35="Automático"),"40%",IF(AND(U35="Detectivo",V35="Manual"),"30%",IF(AND(U35="Correctivo",V35="Automático"),"35%",IF(AND(U35="Correctivo",V35="Manual"),"25%",""))))))</f>
        <v>50%</v>
      </c>
      <c r="X35" s="414" t="s">
        <v>19</v>
      </c>
      <c r="Y35" s="414" t="s">
        <v>22</v>
      </c>
      <c r="Z35" s="414" t="s">
        <v>117</v>
      </c>
      <c r="AA35" s="392">
        <f>IFERROR(IF(AND(AB34="Probabilidad",AB35="Probabilidad"),(AH34-(+AH34*W35)),IF(AB35="Probabilidad",(M34-(+M34*W35)),IF(AB35="Impacto",AH34,""))),"")</f>
        <v>0.1</v>
      </c>
      <c r="AB35" s="392" t="str">
        <f t="shared" si="2"/>
        <v>Probabilidad</v>
      </c>
      <c r="AC35" s="393" t="s">
        <v>308</v>
      </c>
      <c r="AD35" s="393" t="s">
        <v>300</v>
      </c>
      <c r="AE35" s="393" t="s">
        <v>286</v>
      </c>
      <c r="AF35" s="394" t="s">
        <v>248</v>
      </c>
      <c r="AG35" s="417" t="str">
        <f t="shared" si="8"/>
        <v>Muy Baja</v>
      </c>
      <c r="AH35" s="396">
        <f t="shared" si="13"/>
        <v>0.1</v>
      </c>
      <c r="AI35" s="395" t="str">
        <f t="shared" ca="1" si="5"/>
        <v>Moderado</v>
      </c>
      <c r="AJ35" s="396">
        <f ca="1">IFERROR(IF(AND(AB34="Impacto",AB35="Impacto"),(AJ34-(+AJ34*W35)),IF(AB35="Impacto",($Q$10-(+$Q$10*AB35)),IF(AB35="Probabilidad",AJ34,""))),"")</f>
        <v>0.6</v>
      </c>
      <c r="AK35" s="397" t="str">
        <f ca="1">IFERROR(IF(OR(AND(AG35="Muy Baja",AI35="Leve"),AND(AG35="Muy Baja",AI35="Menor"),AND(AG35="Baja",AI35="Leve")),"Bajo",IF(OR(AND(AG35="Muy baja",AI35="Moderado"),AND(AG35="Baja",AI35="Menor"),AND(AG35="Baja",AI35="Moderado"),AND(AG35="Media",AI35="Leve"),AND(AG35="Media",AI35="Menor"),AND(AG35="Media",AI35="Moderado"),AND(AG35="Alta",AI35="Leve"),AND(AG35="Alta",AI35="Menor")),"Moderado",IF(OR(AND(AG35="Muy Baja",AI35="Mayor"),AND(AG35="Baja",AI35="Mayor"),AND(AG35="Media",AI35="Mayor"),AND(AG35="Alta",AI35="Moderado"),AND(AG35="Alta",AI35="Mayor"),AND(AG35="Muy Alta",AI35="Leve"),AND(AG35="Muy Alta",AI35="Menor"),AND(AG35="Muy Alta",AI35="Moderado"),AND(AG35="Muy Alta",AI35="Mayor")),"Alto",IF(OR(AND(AG35="Muy Baja",AI35="Catastrófico"),AND(AG35="Baja",AI35="Catastrófico"),AND(AG35="Media",AI35="Catastrófico"),AND(AG35="Alta",AI35="Catastrófico"),AND(AG35="Muy Alta",AI35="Catastrófico")),"Extremo","")))),"")</f>
        <v>Moderado</v>
      </c>
      <c r="AL35" s="398" t="s">
        <v>132</v>
      </c>
      <c r="AM35" s="399" t="s">
        <v>310</v>
      </c>
      <c r="AN35" s="399" t="s">
        <v>300</v>
      </c>
      <c r="AO35" s="400" t="s">
        <v>530</v>
      </c>
      <c r="AP35" s="400" t="s">
        <v>458</v>
      </c>
      <c r="AQ35" s="400" t="s">
        <v>459</v>
      </c>
      <c r="AR35" s="401">
        <v>44866</v>
      </c>
      <c r="AS35" s="401" t="s">
        <v>311</v>
      </c>
      <c r="AT35" s="399" t="s">
        <v>300</v>
      </c>
      <c r="AU35" s="388" t="s">
        <v>41</v>
      </c>
      <c r="AV35" s="348"/>
      <c r="AW35" s="348"/>
      <c r="AX35" s="348"/>
      <c r="AY35" s="348"/>
      <c r="AZ35" s="348"/>
      <c r="BA35" s="348"/>
      <c r="BB35" s="348"/>
      <c r="BC35" s="348"/>
      <c r="BD35" s="348"/>
      <c r="BE35" s="348"/>
      <c r="BF35" s="348"/>
      <c r="BG35" s="348"/>
      <c r="BH35" s="348"/>
      <c r="BI35" s="348"/>
      <c r="BJ35" s="348"/>
      <c r="BK35" s="348"/>
      <c r="BL35" s="348"/>
      <c r="BM35" s="348"/>
      <c r="BN35" s="348"/>
      <c r="BO35" s="348"/>
      <c r="BP35" s="348"/>
      <c r="BQ35" s="348"/>
      <c r="BR35" s="348"/>
      <c r="BS35" s="348"/>
      <c r="BT35" s="348"/>
      <c r="BU35" s="348"/>
      <c r="BV35" s="348"/>
      <c r="BW35" s="348"/>
      <c r="BX35" s="348"/>
      <c r="BY35" s="348"/>
      <c r="BZ35" s="348"/>
      <c r="CA35" s="348"/>
    </row>
    <row r="36" spans="1:79" ht="45.75" customHeight="1" x14ac:dyDescent="0.25">
      <c r="A36" s="404"/>
      <c r="B36" s="405"/>
      <c r="C36" s="405"/>
      <c r="D36" s="406"/>
      <c r="E36" s="406"/>
      <c r="F36" s="406"/>
      <c r="G36" s="407"/>
      <c r="H36" s="406"/>
      <c r="I36" s="406"/>
      <c r="J36" s="406"/>
      <c r="K36" s="404"/>
      <c r="L36" s="408"/>
      <c r="M36" s="409"/>
      <c r="N36" s="410"/>
      <c r="O36" s="409">
        <f t="shared" ca="1" si="23"/>
        <v>0</v>
      </c>
      <c r="P36" s="408"/>
      <c r="Q36" s="409"/>
      <c r="R36" s="411"/>
      <c r="S36" s="412">
        <v>3</v>
      </c>
      <c r="T36" s="430" t="s">
        <v>534</v>
      </c>
      <c r="U36" s="414" t="s">
        <v>14</v>
      </c>
      <c r="V36" s="414" t="s">
        <v>9</v>
      </c>
      <c r="W36" s="413" t="str">
        <f t="shared" si="24"/>
        <v>40%</v>
      </c>
      <c r="X36" s="414" t="s">
        <v>19</v>
      </c>
      <c r="Y36" s="414" t="s">
        <v>22</v>
      </c>
      <c r="Z36" s="414" t="s">
        <v>117</v>
      </c>
      <c r="AA36" s="415">
        <f>IFERROR(IF(AND(AB35="Probabilidad",AB36="Probabilidad"),(AH35-(+AH35*W36)),IF(AND(AB35="Impacto",AB36="Probabilidad"),(W35-(+W35*W36)),IF(AB36="Impacto",AB35,""))),"")</f>
        <v>0.06</v>
      </c>
      <c r="AB36" s="392" t="str">
        <f t="shared" si="2"/>
        <v>Probabilidad</v>
      </c>
      <c r="AC36" s="393" t="s">
        <v>535</v>
      </c>
      <c r="AD36" s="393" t="s">
        <v>319</v>
      </c>
      <c r="AE36" s="393" t="s">
        <v>286</v>
      </c>
      <c r="AF36" s="394" t="s">
        <v>248</v>
      </c>
      <c r="AG36" s="417" t="str">
        <f t="shared" ref="AG36:AG57" si="25">IFERROR(IF(AA36="","",IF(AA36&lt;=0.2,"Muy Baja",IF(AA36&lt;=0.4,"Baja",IF(AA36&lt;=0.6,"Media",IF(AA36&lt;=0.8,"Alta","Muy Alta"))))),"")</f>
        <v>Muy Baja</v>
      </c>
      <c r="AH36" s="416">
        <f t="shared" ref="AH36:AH57" si="26">+AA36</f>
        <v>0.06</v>
      </c>
      <c r="AI36" s="395" t="str">
        <f t="shared" ca="1" si="5"/>
        <v>Moderado</v>
      </c>
      <c r="AJ36" s="396">
        <f ca="1">IFERROR(IF(AND(AB35="Impacto",AB36="Impacto"),(AJ35-(+AJ35*W36)),IF(AND(AB35="Probabilidad",AB36="Impacto"),(AJ34-(+AJ34*W36)),IF(AB36="Probabilidad",AJ35,""))),"")</f>
        <v>0.6</v>
      </c>
      <c r="AK36" s="397" t="str">
        <f ca="1">IFERROR(IF(OR(AND(AG36="Muy Baja",AI36="Leve"),AND(AG36="Muy Baja",AI36="Menor"),AND(AG36="Baja",AI36="Leve")),"Bajo",IF(OR(AND(AG36="Muy baja",AI36="Moderado"),AND(AG36="Baja",AI36="Menor"),AND(AG36="Baja",AI36="Moderado"),AND(AG36="Media",AI36="Leve"),AND(AG36="Media",AI36="Menor"),AND(AG36="Media",AI36="Moderado"),AND(AG36="Alta",AI36="Leve"),AND(AG36="Alta",AI36="Menor")),"Moderado",IF(OR(AND(AG36="Muy Baja",AI36="Mayor"),AND(AG36="Baja",AI36="Mayor"),AND(AG36="Media",AI36="Mayor"),AND(AG36="Alta",AI36="Moderado"),AND(AG36="Alta",AI36="Mayor"),AND(AG36="Muy Alta",AI36="Leve"),AND(AG36="Muy Alta",AI36="Menor"),AND(AG36="Muy Alta",AI36="Moderado"),AND(AG36="Muy Alta",AI36="Mayor")),"Alto",IF(OR(AND(AG36="Muy Baja",AI36="Catastrófico"),AND(AG36="Baja",AI36="Catastrófico"),AND(AG36="Media",AI36="Catastrófico"),AND(AG36="Alta",AI36="Catastrófico"),AND(AG36="Muy Alta",AI36="Catastrófico")),"Extremo","")))),"")</f>
        <v>Moderado</v>
      </c>
      <c r="AL36" s="398" t="s">
        <v>31</v>
      </c>
      <c r="AM36" s="399"/>
      <c r="AN36" s="399"/>
      <c r="AO36" s="400"/>
      <c r="AP36" s="400"/>
      <c r="AQ36" s="400"/>
      <c r="AR36" s="401"/>
      <c r="AS36" s="401"/>
      <c r="AT36" s="399"/>
      <c r="AU36" s="388"/>
      <c r="AV36" s="348"/>
      <c r="AW36" s="348"/>
      <c r="AX36" s="348"/>
      <c r="AY36" s="348"/>
      <c r="AZ36" s="348"/>
      <c r="BA36" s="348"/>
      <c r="BB36" s="348"/>
      <c r="BC36" s="348"/>
      <c r="BD36" s="348"/>
      <c r="BE36" s="348"/>
      <c r="BF36" s="348"/>
      <c r="BG36" s="348"/>
      <c r="BH36" s="348"/>
      <c r="BI36" s="348"/>
      <c r="BJ36" s="348"/>
      <c r="BK36" s="348"/>
      <c r="BL36" s="348"/>
      <c r="BM36" s="348"/>
      <c r="BN36" s="348"/>
      <c r="BO36" s="348"/>
      <c r="BP36" s="348"/>
      <c r="BQ36" s="348"/>
      <c r="BR36" s="348"/>
      <c r="BS36" s="348"/>
      <c r="BT36" s="348"/>
      <c r="BU36" s="348"/>
      <c r="BV36" s="348"/>
      <c r="BW36" s="348"/>
      <c r="BX36" s="348"/>
      <c r="BY36" s="348"/>
      <c r="BZ36" s="348"/>
      <c r="CA36" s="348"/>
    </row>
    <row r="37" spans="1:79" ht="45.75" customHeight="1" x14ac:dyDescent="0.25">
      <c r="A37" s="404"/>
      <c r="B37" s="405"/>
      <c r="C37" s="405"/>
      <c r="D37" s="406"/>
      <c r="E37" s="406"/>
      <c r="F37" s="406"/>
      <c r="G37" s="407"/>
      <c r="H37" s="406"/>
      <c r="I37" s="406"/>
      <c r="J37" s="406"/>
      <c r="K37" s="404"/>
      <c r="L37" s="408"/>
      <c r="M37" s="409"/>
      <c r="N37" s="410"/>
      <c r="O37" s="409">
        <f t="shared" ca="1" si="23"/>
        <v>0</v>
      </c>
      <c r="P37" s="408"/>
      <c r="Q37" s="409"/>
      <c r="R37" s="411"/>
      <c r="S37" s="412">
        <v>4</v>
      </c>
      <c r="T37" s="430" t="s">
        <v>536</v>
      </c>
      <c r="U37" s="414" t="s">
        <v>14</v>
      </c>
      <c r="V37" s="414" t="s">
        <v>9</v>
      </c>
      <c r="W37" s="413" t="str">
        <f t="shared" si="24"/>
        <v>40%</v>
      </c>
      <c r="X37" s="414" t="s">
        <v>19</v>
      </c>
      <c r="Y37" s="414" t="s">
        <v>22</v>
      </c>
      <c r="Z37" s="414" t="s">
        <v>117</v>
      </c>
      <c r="AA37" s="415">
        <f>IFERROR(IF(AND(AB36="Probabilidad",AB37="Probabilidad"),(AH36-(+AH36*W37)),IF(AND(AB36="Impacto",AB37="Probabilidad"),(W36-(+W36*W37)),IF(AB37="Impacto",AB36,""))),"")</f>
        <v>3.5999999999999997E-2</v>
      </c>
      <c r="AB37" s="392" t="str">
        <f t="shared" si="2"/>
        <v>Probabilidad</v>
      </c>
      <c r="AC37" s="393" t="s">
        <v>537</v>
      </c>
      <c r="AD37" s="393" t="s">
        <v>319</v>
      </c>
      <c r="AE37" s="393" t="s">
        <v>286</v>
      </c>
      <c r="AF37" s="394" t="s">
        <v>248</v>
      </c>
      <c r="AG37" s="417" t="str">
        <f t="shared" si="25"/>
        <v>Muy Baja</v>
      </c>
      <c r="AH37" s="416">
        <f t="shared" si="26"/>
        <v>3.5999999999999997E-2</v>
      </c>
      <c r="AI37" s="395" t="str">
        <f t="shared" ca="1" si="5"/>
        <v>Moderado</v>
      </c>
      <c r="AJ37" s="396">
        <f ca="1">IFERROR(IF(AND(AB36="Impacto",AB37="Impacto"),(AJ36-(+AJ36*W37)),IF(AND(AB36="Probabilidad",AB37="Impacto"),(AJ35-(+AJ35*W37)),IF(AB37="Probabilidad",AJ36,""))),"")</f>
        <v>0.6</v>
      </c>
      <c r="AK37" s="397" t="str">
        <f t="shared" ref="AK37:AK39" ca="1" si="27">IFERROR(IF(OR(AND(AG37="Muy Baja",AI37="Leve"),AND(AG37="Muy Baja",AI37="Menor"),AND(AG37="Baja",AI37="Leve")),"Bajo",IF(OR(AND(AG37="Muy baja",AI37="Moderado"),AND(AG37="Baja",AI37="Menor"),AND(AG37="Baja",AI37="Moderado"),AND(AG37="Media",AI37="Leve"),AND(AG37="Media",AI37="Menor"),AND(AG37="Media",AI37="Moderado"),AND(AG37="Alta",AI37="Leve"),AND(AG37="Alta",AI37="Menor")),"Moderado",IF(OR(AND(AG37="Muy Baja",AI37="Mayor"),AND(AG37="Baja",AI37="Mayor"),AND(AG37="Media",AI37="Mayor"),AND(AG37="Alta",AI37="Moderado"),AND(AG37="Alta",AI37="Mayor"),AND(AG37="Muy Alta",AI37="Leve"),AND(AG37="Muy Alta",AI37="Menor"),AND(AG37="Muy Alta",AI37="Moderado"),AND(AG37="Muy Alta",AI37="Mayor")),"Alto",IF(OR(AND(AG37="Muy Baja",AI37="Catastrófico"),AND(AG37="Baja",AI37="Catastrófico"),AND(AG37="Media",AI37="Catastrófico"),AND(AG37="Alta",AI37="Catastrófico"),AND(AG37="Muy Alta",AI37="Catastrófico")),"Extremo","")))),"")</f>
        <v>Moderado</v>
      </c>
      <c r="AL37" s="398" t="s">
        <v>31</v>
      </c>
      <c r="AM37" s="399"/>
      <c r="AN37" s="399"/>
      <c r="AO37" s="400"/>
      <c r="AP37" s="400"/>
      <c r="AQ37" s="400"/>
      <c r="AR37" s="401"/>
      <c r="AS37" s="401"/>
      <c r="AT37" s="399"/>
      <c r="AU37" s="388"/>
      <c r="AV37" s="348"/>
      <c r="AW37" s="348"/>
      <c r="AX37" s="348"/>
      <c r="AY37" s="348"/>
      <c r="AZ37" s="348"/>
      <c r="BA37" s="348"/>
      <c r="BB37" s="348"/>
      <c r="BC37" s="348"/>
      <c r="BD37" s="348"/>
      <c r="BE37" s="348"/>
      <c r="BF37" s="348"/>
      <c r="BG37" s="348"/>
      <c r="BH37" s="348"/>
      <c r="BI37" s="348"/>
      <c r="BJ37" s="348"/>
      <c r="BK37" s="348"/>
      <c r="BL37" s="348"/>
      <c r="BM37" s="348"/>
      <c r="BN37" s="348"/>
      <c r="BO37" s="348"/>
      <c r="BP37" s="348"/>
      <c r="BQ37" s="348"/>
      <c r="BR37" s="348"/>
      <c r="BS37" s="348"/>
      <c r="BT37" s="348"/>
      <c r="BU37" s="348"/>
      <c r="BV37" s="348"/>
      <c r="BW37" s="348"/>
      <c r="BX37" s="348"/>
      <c r="BY37" s="348"/>
      <c r="BZ37" s="348"/>
      <c r="CA37" s="348"/>
    </row>
    <row r="38" spans="1:79" ht="45.75" customHeight="1" x14ac:dyDescent="0.25">
      <c r="A38" s="404"/>
      <c r="B38" s="405"/>
      <c r="C38" s="405"/>
      <c r="D38" s="406"/>
      <c r="E38" s="406"/>
      <c r="F38" s="406"/>
      <c r="G38" s="407"/>
      <c r="H38" s="406"/>
      <c r="I38" s="406"/>
      <c r="J38" s="406"/>
      <c r="K38" s="404"/>
      <c r="L38" s="408"/>
      <c r="M38" s="409"/>
      <c r="N38" s="410"/>
      <c r="O38" s="409">
        <f t="shared" ca="1" si="23"/>
        <v>0</v>
      </c>
      <c r="P38" s="408"/>
      <c r="Q38" s="409"/>
      <c r="R38" s="411"/>
      <c r="S38" s="412">
        <v>5</v>
      </c>
      <c r="T38" s="389"/>
      <c r="U38" s="414"/>
      <c r="V38" s="414"/>
      <c r="W38" s="413" t="str">
        <f t="shared" si="24"/>
        <v/>
      </c>
      <c r="X38" s="414"/>
      <c r="Y38" s="414"/>
      <c r="Z38" s="414"/>
      <c r="AA38" s="415" t="str">
        <f>IFERROR(IF(AND(AB37="Probabilidad",AB38="Probabilidad"),(AH37-(+AH37*W38)),IF(AND(AB37="Impacto",AB38="Probabilidad"),(W37-(+W37*W38)),IF(AB38="Impacto",AB37,""))),"")</f>
        <v/>
      </c>
      <c r="AB38" s="392" t="str">
        <f t="shared" si="2"/>
        <v/>
      </c>
      <c r="AC38" s="393"/>
      <c r="AD38" s="393"/>
      <c r="AE38" s="393"/>
      <c r="AF38" s="394"/>
      <c r="AG38" s="417" t="str">
        <f t="shared" si="25"/>
        <v/>
      </c>
      <c r="AH38" s="416" t="str">
        <f t="shared" si="26"/>
        <v/>
      </c>
      <c r="AI38" s="395" t="str">
        <f t="shared" si="5"/>
        <v/>
      </c>
      <c r="AJ38" s="396" t="str">
        <f>IFERROR(IF(AND(AB37="Impacto",AB38="Impacto"),(AJ37-(+AJ37*W38)),IF(AND(AB37="Probabilidad",AB38="Impacto"),(AJ36-(+AJ36*W38)),IF(AB38="Probabilidad",AJ37,""))),"")</f>
        <v/>
      </c>
      <c r="AK38" s="397" t="str">
        <f t="shared" si="27"/>
        <v/>
      </c>
      <c r="AL38" s="398"/>
      <c r="AM38" s="399"/>
      <c r="AN38" s="399"/>
      <c r="AO38" s="400"/>
      <c r="AP38" s="400"/>
      <c r="AQ38" s="400"/>
      <c r="AR38" s="401"/>
      <c r="AS38" s="401"/>
      <c r="AT38" s="399"/>
      <c r="AU38" s="388"/>
      <c r="AV38" s="348"/>
      <c r="AW38" s="348"/>
      <c r="AX38" s="348"/>
      <c r="AY38" s="348"/>
      <c r="AZ38" s="348"/>
      <c r="BA38" s="348"/>
      <c r="BB38" s="348"/>
      <c r="BC38" s="348"/>
      <c r="BD38" s="348"/>
      <c r="BE38" s="348"/>
      <c r="BF38" s="348"/>
      <c r="BG38" s="348"/>
      <c r="BH38" s="348"/>
      <c r="BI38" s="348"/>
      <c r="BJ38" s="348"/>
      <c r="BK38" s="348"/>
      <c r="BL38" s="348"/>
      <c r="BM38" s="348"/>
      <c r="BN38" s="348"/>
      <c r="BO38" s="348"/>
      <c r="BP38" s="348"/>
      <c r="BQ38" s="348"/>
      <c r="BR38" s="348"/>
      <c r="BS38" s="348"/>
      <c r="BT38" s="348"/>
      <c r="BU38" s="348"/>
      <c r="BV38" s="348"/>
      <c r="BW38" s="348"/>
      <c r="BX38" s="348"/>
      <c r="BY38" s="348"/>
      <c r="BZ38" s="348"/>
      <c r="CA38" s="348"/>
    </row>
    <row r="39" spans="1:79" ht="45.75" customHeight="1" x14ac:dyDescent="0.25">
      <c r="A39" s="418"/>
      <c r="B39" s="419"/>
      <c r="C39" s="419"/>
      <c r="D39" s="420"/>
      <c r="E39" s="420"/>
      <c r="F39" s="420"/>
      <c r="G39" s="421"/>
      <c r="H39" s="420"/>
      <c r="I39" s="420"/>
      <c r="J39" s="420"/>
      <c r="K39" s="418"/>
      <c r="L39" s="422"/>
      <c r="M39" s="423"/>
      <c r="N39" s="424"/>
      <c r="O39" s="423">
        <f t="shared" ca="1" si="23"/>
        <v>0</v>
      </c>
      <c r="P39" s="422"/>
      <c r="Q39" s="423"/>
      <c r="R39" s="425"/>
      <c r="S39" s="412">
        <v>6</v>
      </c>
      <c r="T39" s="389"/>
      <c r="U39" s="414"/>
      <c r="V39" s="414"/>
      <c r="W39" s="413" t="str">
        <f t="shared" si="24"/>
        <v/>
      </c>
      <c r="X39" s="414"/>
      <c r="Y39" s="414"/>
      <c r="Z39" s="414"/>
      <c r="AA39" s="415" t="str">
        <f>IFERROR(IF(AND(AB38="Probabilidad",AB39="Probabilidad"),(AH38-(+AH38*W39)),IF(AND(AB38="Impacto",AB39="Probabilidad"),(W38-(+W38*W39)),IF(AB39="Impacto",AB38,""))),"")</f>
        <v/>
      </c>
      <c r="AB39" s="392" t="str">
        <f t="shared" si="2"/>
        <v/>
      </c>
      <c r="AC39" s="393"/>
      <c r="AD39" s="393"/>
      <c r="AE39" s="393"/>
      <c r="AF39" s="394"/>
      <c r="AG39" s="417" t="str">
        <f t="shared" si="25"/>
        <v/>
      </c>
      <c r="AH39" s="416" t="str">
        <f t="shared" si="26"/>
        <v/>
      </c>
      <c r="AI39" s="395" t="str">
        <f t="shared" si="5"/>
        <v/>
      </c>
      <c r="AJ39" s="396" t="str">
        <f>IFERROR(IF(AND(AB38="Impacto",AB39="Impacto"),(AJ38-(+AJ38*W39)),IF(AND(AB38="Probabilidad",AB39="Impacto"),(AJ37-(+AJ37*W39)),IF(AB39="Probabilidad",AJ38,""))),"")</f>
        <v/>
      </c>
      <c r="AK39" s="397" t="str">
        <f t="shared" si="27"/>
        <v/>
      </c>
      <c r="AL39" s="398"/>
      <c r="AM39" s="399"/>
      <c r="AN39" s="399"/>
      <c r="AO39" s="400"/>
      <c r="AP39" s="400"/>
      <c r="AQ39" s="400"/>
      <c r="AR39" s="401"/>
      <c r="AS39" s="401"/>
      <c r="AT39" s="399"/>
      <c r="AU39" s="388"/>
      <c r="AV39" s="348"/>
      <c r="AW39" s="348"/>
      <c r="AX39" s="348"/>
      <c r="AY39" s="348"/>
      <c r="AZ39" s="348"/>
      <c r="BA39" s="348"/>
      <c r="BB39" s="348"/>
      <c r="BC39" s="348"/>
      <c r="BD39" s="348"/>
      <c r="BE39" s="348"/>
      <c r="BF39" s="348"/>
      <c r="BG39" s="348"/>
      <c r="BH39" s="348"/>
      <c r="BI39" s="348"/>
      <c r="BJ39" s="348"/>
      <c r="BK39" s="348"/>
      <c r="BL39" s="348"/>
      <c r="BM39" s="348"/>
      <c r="BN39" s="348"/>
      <c r="BO39" s="348"/>
      <c r="BP39" s="348"/>
      <c r="BQ39" s="348"/>
      <c r="BR39" s="348"/>
      <c r="BS39" s="348"/>
      <c r="BT39" s="348"/>
      <c r="BU39" s="348"/>
      <c r="BV39" s="348"/>
      <c r="BW39" s="348"/>
      <c r="BX39" s="348"/>
      <c r="BY39" s="348"/>
      <c r="BZ39" s="348"/>
      <c r="CA39" s="348"/>
    </row>
    <row r="40" spans="1:79" ht="45.75" customHeight="1" x14ac:dyDescent="0.25">
      <c r="A40" s="380">
        <v>7</v>
      </c>
      <c r="B40" s="381" t="s">
        <v>532</v>
      </c>
      <c r="C40" s="381" t="s">
        <v>218</v>
      </c>
      <c r="D40" s="382" t="s">
        <v>128</v>
      </c>
      <c r="E40" s="382" t="s">
        <v>349</v>
      </c>
      <c r="F40" s="382" t="s">
        <v>350</v>
      </c>
      <c r="G40" s="426" t="s">
        <v>351</v>
      </c>
      <c r="H40" s="382" t="s">
        <v>124</v>
      </c>
      <c r="I40" s="382" t="s">
        <v>237</v>
      </c>
      <c r="J40" s="382" t="s">
        <v>316</v>
      </c>
      <c r="K40" s="380" t="s">
        <v>100</v>
      </c>
      <c r="L40" s="384" t="str">
        <f>IF(K40&lt;=0,"",IF(K40&lt;="La actividad que conlleva el riesgo se ejecuta como máximos 2 veces por año","Muy Baja",IF(K40="La actividad que conlleva el riesgo se ejecuta de 3 a 24 veces por año","Baja",IF(K40="La actividad que conlleva el riesgo se ejecuta de 24 a 500 veces por año","Media",IF(K40="La actividad que conlleva el riesgo se ejecuta mínimo 500 veces al año y máximo 5000 veces por año","Alta","Muy Alta")))))</f>
        <v>Muy Baja</v>
      </c>
      <c r="M40" s="385">
        <f>IF(L40="","",IF(L40="Muy Baja",0.2,IF(L40="Baja",0.4,IF(L40="Media",0.6,IF(L40="Alta",0.8,IF(L40="Muy Alta",1,))))))</f>
        <v>0.2</v>
      </c>
      <c r="N40" s="386" t="s">
        <v>148</v>
      </c>
      <c r="O40" s="385" t="str">
        <f ca="1">IF(NOT(ISERROR(MATCH(N40,'Tabla Impacto'!$B$221:$B$223,0))),'Tabla Impacto'!$F$223&amp;"Por favor no seleccionar los criterios de impacto(Afectación Económica o presupuestal y Pérdida Reputacional)",N40)</f>
        <v xml:space="preserve">     El riesgo afecta la imagen de la entidad internamente, de conocimiento general, nivel interno, de junta dircetiva y accionistas y/o de provedores</v>
      </c>
      <c r="P40" s="384" t="str">
        <f ca="1">IF(OR(O40='Tabla Impacto'!$C$11,O40='Tabla Impacto'!$D$11),"Leve",IF(OR(O40='Tabla Impacto'!$C$12,O40='Tabla Impacto'!$D$12),"Menor",IF(OR(O40='Tabla Impacto'!$C$13,O40='Tabla Impacto'!$D$13),"Moderado",IF(OR(O40='Tabla Impacto'!$C$14,O40='Tabla Impacto'!$D$14),"Mayor",IF(OR(O40='Tabla Impacto'!$C$15,O40='Tabla Impacto'!$D$15),"Catastrófico","")))))</f>
        <v>Menor</v>
      </c>
      <c r="Q40" s="385">
        <f ca="1">IF(P40="","",IF(P40="Leve",0.2,IF(P40="Menor",0.4,IF(P40="Moderado",0.6,IF(P40="Mayor",0.8,IF(P40="Catastrófico",1,))))))</f>
        <v>0.4</v>
      </c>
      <c r="R40" s="387" t="str">
        <f ca="1">IF(OR(AND(L40="Muy Baja",P40="Leve"),AND(L40="Muy Baja",P40="Menor"),AND(L40="Baja",P40="Leve")),"Bajo",IF(OR(AND(L40="Muy baja",P40="Moderado"),AND(L40="Baja",P40="Menor"),AND(L40="Baja",P40="Moderado"),AND(L40="Media",P40="Leve"),AND(L40="Media",P40="Menor"),AND(L40="Media",P40="Moderado"),AND(L40="Alta",P40="Leve"),AND(L40="Alta",P40="Menor")),"Moderado",IF(OR(AND(L40="Muy Baja",P40="Mayor"),AND(L40="Baja",P40="Mayor"),AND(L40="Media",P40="Mayor"),AND(L40="Alta",P40="Moderado"),AND(L40="Alta",P40="Mayor"),AND(L40="Muy Alta",P40="Leve"),AND(L40="Muy Alta",P40="Menor"),AND(L40="Muy Alta",P40="Moderado"),AND(L40="Muy Alta",P40="Mayor")),"Alto",IF(OR(AND(L40="Muy Baja",P40="Catastrófico"),AND(L40="Baja",P40="Catastrófico"),AND(L40="Media",P40="Catastrófico"),AND(L40="Alta",P40="Catastrófico"),AND(L40="Muy Alta",P40="Catastrófico")),"Extremo",""))))</f>
        <v>Bajo</v>
      </c>
      <c r="S40" s="412">
        <v>1</v>
      </c>
      <c r="T40" s="389" t="s">
        <v>317</v>
      </c>
      <c r="U40" s="390" t="s">
        <v>14</v>
      </c>
      <c r="V40" s="390" t="s">
        <v>9</v>
      </c>
      <c r="W40" s="391" t="str">
        <f>IF(AND(U40="Preventivo",V40="Automático"),"50%",IF(AND(U40="Preventivo",V40="Manual"),"40%",IF(AND(U40="Detectivo",V40="Automático"),"40%",IF(AND(U40="Detectivo",V40="Manual"),"30%",IF(AND(U40="Correctivo",V40="Automático"),"35%",IF(AND(U40="Correctivo",V40="Manual"),"25%",""))))))</f>
        <v>40%</v>
      </c>
      <c r="X40" s="390" t="s">
        <v>19</v>
      </c>
      <c r="Y40" s="390" t="s">
        <v>23</v>
      </c>
      <c r="Z40" s="390" t="s">
        <v>117</v>
      </c>
      <c r="AA40" s="392">
        <f>IFERROR(IF(AB40="Probabilidad",(M40-(+M40*W40)),IF(AB40="Impacto",M40,"")),"")</f>
        <v>0.12</v>
      </c>
      <c r="AB40" s="392" t="str">
        <f t="shared" si="2"/>
        <v>Probabilidad</v>
      </c>
      <c r="AC40" s="393" t="s">
        <v>318</v>
      </c>
      <c r="AD40" s="393" t="s">
        <v>319</v>
      </c>
      <c r="AE40" s="393" t="s">
        <v>286</v>
      </c>
      <c r="AF40" s="394" t="s">
        <v>248</v>
      </c>
      <c r="AG40" s="417" t="str">
        <f t="shared" si="25"/>
        <v>Muy Baja</v>
      </c>
      <c r="AH40" s="396">
        <f t="shared" si="26"/>
        <v>0.12</v>
      </c>
      <c r="AI40" s="395" t="str">
        <f t="shared" ca="1" si="5"/>
        <v>Menor</v>
      </c>
      <c r="AJ40" s="396">
        <f ca="1">IFERROR(IF(AB40="Impacto",(Q40-(+Q40*W40)),IF(AB40="Probabilidad",Q40,"")),"")</f>
        <v>0.4</v>
      </c>
      <c r="AK40" s="397" t="str">
        <f ca="1">IFERROR(IF(OR(AND(AG40="Muy Baja",AI40="Leve"),AND(AG40="Muy Baja",AI40="Menor"),AND(AG40="Baja",AI40="Leve")),"Bajo",IF(OR(AND(AG40="Muy baja",AI40="Moderado"),AND(AG40="Baja",AI40="Menor"),AND(AG40="Baja",AI40="Moderado"),AND(AG40="Media",AI40="Leve"),AND(AG40="Media",AI40="Menor"),AND(AG40="Media",AI40="Moderado"),AND(AG40="Alta",AI40="Leve"),AND(AG40="Alta",AI40="Menor")),"Moderado",IF(OR(AND(AG40="Muy Baja",AI40="Mayor"),AND(AG40="Baja",AI40="Mayor"),AND(AG40="Media",AI40="Mayor"),AND(AG40="Alta",AI40="Moderado"),AND(AG40="Alta",AI40="Mayor"),AND(AG40="Muy Alta",AI40="Leve"),AND(AG40="Muy Alta",AI40="Menor"),AND(AG40="Muy Alta",AI40="Moderado"),AND(AG40="Muy Alta",AI40="Mayor")),"Alto",IF(OR(AND(AG40="Muy Baja",AI40="Catastrófico"),AND(AG40="Baja",AI40="Catastrófico"),AND(AG40="Media",AI40="Catastrófico"),AND(AG40="Alta",AI40="Catastrófico"),AND(AG40="Muy Alta",AI40="Catastrófico")),"Extremo","")))),"")</f>
        <v>Bajo</v>
      </c>
      <c r="AL40" s="398" t="s">
        <v>31</v>
      </c>
      <c r="AM40" s="399"/>
      <c r="AN40" s="399"/>
      <c r="AO40" s="400"/>
      <c r="AP40" s="400"/>
      <c r="AQ40" s="400"/>
      <c r="AR40" s="401"/>
      <c r="AS40" s="401"/>
      <c r="AT40" s="399"/>
      <c r="AU40" s="388"/>
      <c r="AV40" s="348"/>
      <c r="AW40" s="348"/>
      <c r="AX40" s="348"/>
      <c r="AY40" s="348"/>
      <c r="AZ40" s="348"/>
      <c r="BA40" s="348"/>
      <c r="BB40" s="348"/>
      <c r="BC40" s="348"/>
      <c r="BD40" s="348"/>
      <c r="BE40" s="348"/>
      <c r="BF40" s="348"/>
      <c r="BG40" s="348"/>
      <c r="BH40" s="348"/>
      <c r="BI40" s="348"/>
      <c r="BJ40" s="348"/>
      <c r="BK40" s="348"/>
      <c r="BL40" s="348"/>
      <c r="BM40" s="348"/>
      <c r="BN40" s="348"/>
      <c r="BO40" s="348"/>
      <c r="BP40" s="348"/>
      <c r="BQ40" s="348"/>
      <c r="BR40" s="348"/>
      <c r="BS40" s="348"/>
      <c r="BT40" s="348"/>
      <c r="BU40" s="348"/>
      <c r="BV40" s="348"/>
      <c r="BW40" s="348"/>
      <c r="BX40" s="348"/>
      <c r="BY40" s="348"/>
      <c r="BZ40" s="348"/>
      <c r="CA40" s="348"/>
    </row>
    <row r="41" spans="1:79" ht="45.75" customHeight="1" x14ac:dyDescent="0.25">
      <c r="A41" s="404"/>
      <c r="B41" s="405"/>
      <c r="C41" s="405"/>
      <c r="D41" s="406"/>
      <c r="E41" s="406"/>
      <c r="F41" s="406"/>
      <c r="G41" s="427"/>
      <c r="H41" s="406"/>
      <c r="I41" s="406"/>
      <c r="J41" s="406"/>
      <c r="K41" s="404"/>
      <c r="L41" s="408"/>
      <c r="M41" s="409"/>
      <c r="N41" s="410"/>
      <c r="O41" s="409">
        <f t="shared" ref="O41:O44" ca="1" si="28">IF(NOT(ISERROR(MATCH(N41,_xlfn.ANCHORARRAY(G52),0))),M54&amp;"Por favor no seleccionar los criterios de impacto",N41)</f>
        <v>0</v>
      </c>
      <c r="P41" s="408"/>
      <c r="Q41" s="409"/>
      <c r="R41" s="411"/>
      <c r="S41" s="412">
        <v>2</v>
      </c>
      <c r="T41" s="389" t="s">
        <v>320</v>
      </c>
      <c r="U41" s="414" t="s">
        <v>14</v>
      </c>
      <c r="V41" s="414" t="s">
        <v>9</v>
      </c>
      <c r="W41" s="391" t="str">
        <f t="shared" ref="W41:W45" si="29">IF(AND(U41="Preventivo",V41="Automático"),"50%",IF(AND(U41="Preventivo",V41="Manual"),"40%",IF(AND(U41="Detectivo",V41="Automático"),"40%",IF(AND(U41="Detectivo",V41="Manual"),"30%",IF(AND(U41="Correctivo",V41="Automático"),"35%",IF(AND(U41="Correctivo",V41="Manual"),"25%",""))))))</f>
        <v>40%</v>
      </c>
      <c r="X41" s="414" t="s">
        <v>19</v>
      </c>
      <c r="Y41" s="414" t="s">
        <v>23</v>
      </c>
      <c r="Z41" s="414" t="s">
        <v>117</v>
      </c>
      <c r="AA41" s="392">
        <f>IFERROR(IF(AND(AB40="Probabilidad",AB41="Probabilidad"),(AH40-(+AH40*W41)),IF(AB41="Probabilidad",(M40-(+M40*W41)),IF(AB41="Impacto",AH40,""))),"")</f>
        <v>7.1999999999999995E-2</v>
      </c>
      <c r="AB41" s="392" t="str">
        <f t="shared" si="2"/>
        <v>Probabilidad</v>
      </c>
      <c r="AC41" s="393" t="s">
        <v>321</v>
      </c>
      <c r="AD41" s="393" t="s">
        <v>319</v>
      </c>
      <c r="AE41" s="393" t="s">
        <v>286</v>
      </c>
      <c r="AF41" s="394" t="s">
        <v>248</v>
      </c>
      <c r="AG41" s="417" t="str">
        <f t="shared" si="25"/>
        <v>Muy Baja</v>
      </c>
      <c r="AH41" s="396">
        <f t="shared" si="26"/>
        <v>7.1999999999999995E-2</v>
      </c>
      <c r="AI41" s="395" t="str">
        <f t="shared" ca="1" si="5"/>
        <v>Menor</v>
      </c>
      <c r="AJ41" s="396">
        <f ca="1">IFERROR(IF(AND(AB40="Impacto",AB41="Impacto"),(AJ40-(+AJ40*W41)),IF(AB41="Impacto",($Q$10-(+$Q$10*AB41)),IF(AB41="Probabilidad",AJ40,""))),"")</f>
        <v>0.4</v>
      </c>
      <c r="AK41" s="397" t="str">
        <f ca="1">IFERROR(IF(OR(AND(AG41="Muy Baja",AI41="Leve"),AND(AG41="Muy Baja",AI41="Menor"),AND(AG41="Baja",AI41="Leve")),"Bajo",IF(OR(AND(AG41="Muy baja",AI41="Moderado"),AND(AG41="Baja",AI41="Menor"),AND(AG41="Baja",AI41="Moderado"),AND(AG41="Media",AI41="Leve"),AND(AG41="Media",AI41="Menor"),AND(AG41="Media",AI41="Moderado"),AND(AG41="Alta",AI41="Leve"),AND(AG41="Alta",AI41="Menor")),"Moderado",IF(OR(AND(AG41="Muy Baja",AI41="Mayor"),AND(AG41="Baja",AI41="Mayor"),AND(AG41="Media",AI41="Mayor"),AND(AG41="Alta",AI41="Moderado"),AND(AG41="Alta",AI41="Mayor"),AND(AG41="Muy Alta",AI41="Leve"),AND(AG41="Muy Alta",AI41="Menor"),AND(AG41="Muy Alta",AI41="Moderado"),AND(AG41="Muy Alta",AI41="Mayor")),"Alto",IF(OR(AND(AG41="Muy Baja",AI41="Catastrófico"),AND(AG41="Baja",AI41="Catastrófico"),AND(AG41="Media",AI41="Catastrófico"),AND(AG41="Alta",AI41="Catastrófico"),AND(AG41="Muy Alta",AI41="Catastrófico")),"Extremo","")))),"")</f>
        <v>Bajo</v>
      </c>
      <c r="AL41" s="398" t="s">
        <v>31</v>
      </c>
      <c r="AM41" s="399"/>
      <c r="AN41" s="399"/>
      <c r="AO41" s="400"/>
      <c r="AP41" s="400"/>
      <c r="AQ41" s="400"/>
      <c r="AR41" s="401"/>
      <c r="AS41" s="401"/>
      <c r="AT41" s="399"/>
      <c r="AU41" s="388"/>
      <c r="AV41" s="348"/>
      <c r="AW41" s="348"/>
      <c r="AX41" s="348"/>
      <c r="AY41" s="348"/>
      <c r="AZ41" s="348"/>
      <c r="BA41" s="348"/>
      <c r="BB41" s="348"/>
      <c r="BC41" s="348"/>
      <c r="BD41" s="348"/>
      <c r="BE41" s="348"/>
      <c r="BF41" s="348"/>
      <c r="BG41" s="348"/>
      <c r="BH41" s="348"/>
      <c r="BI41" s="348"/>
      <c r="BJ41" s="348"/>
      <c r="BK41" s="348"/>
      <c r="BL41" s="348"/>
      <c r="BM41" s="348"/>
      <c r="BN41" s="348"/>
      <c r="BO41" s="348"/>
      <c r="BP41" s="348"/>
      <c r="BQ41" s="348"/>
      <c r="BR41" s="348"/>
      <c r="BS41" s="348"/>
      <c r="BT41" s="348"/>
      <c r="BU41" s="348"/>
      <c r="BV41" s="348"/>
      <c r="BW41" s="348"/>
      <c r="BX41" s="348"/>
      <c r="BY41" s="348"/>
      <c r="BZ41" s="348"/>
      <c r="CA41" s="348"/>
    </row>
    <row r="42" spans="1:79" ht="45.75" customHeight="1" x14ac:dyDescent="0.25">
      <c r="A42" s="404"/>
      <c r="B42" s="405"/>
      <c r="C42" s="405"/>
      <c r="D42" s="406"/>
      <c r="E42" s="406"/>
      <c r="F42" s="406"/>
      <c r="G42" s="427"/>
      <c r="H42" s="406"/>
      <c r="I42" s="406"/>
      <c r="J42" s="406"/>
      <c r="K42" s="404"/>
      <c r="L42" s="408"/>
      <c r="M42" s="409"/>
      <c r="N42" s="410"/>
      <c r="O42" s="409">
        <f t="shared" ca="1" si="28"/>
        <v>0</v>
      </c>
      <c r="P42" s="408"/>
      <c r="Q42" s="409"/>
      <c r="R42" s="411"/>
      <c r="S42" s="412">
        <v>3</v>
      </c>
      <c r="T42" s="389"/>
      <c r="U42" s="414"/>
      <c r="V42" s="414"/>
      <c r="W42" s="413" t="str">
        <f t="shared" si="29"/>
        <v/>
      </c>
      <c r="X42" s="414"/>
      <c r="Y42" s="414"/>
      <c r="Z42" s="414"/>
      <c r="AA42" s="415" t="str">
        <f>IFERROR(IF(AND(AB41="Probabilidad",AB42="Probabilidad"),(AH41-(+AH41*W42)),IF(AND(AB41="Impacto",AB42="Probabilidad"),(W41-(+W41*W42)),IF(AB42="Impacto",AB41,""))),"")</f>
        <v/>
      </c>
      <c r="AB42" s="392" t="str">
        <f t="shared" si="2"/>
        <v/>
      </c>
      <c r="AC42" s="393"/>
      <c r="AD42" s="393"/>
      <c r="AE42" s="393"/>
      <c r="AF42" s="394"/>
      <c r="AG42" s="417" t="str">
        <f t="shared" si="25"/>
        <v/>
      </c>
      <c r="AH42" s="416" t="str">
        <f t="shared" si="26"/>
        <v/>
      </c>
      <c r="AI42" s="395" t="str">
        <f t="shared" si="5"/>
        <v/>
      </c>
      <c r="AJ42" s="396" t="str">
        <f>IFERROR(IF(AND(AB41="Impacto",AB42="Impacto"),(AJ41-(+AJ41*W42)),IF(AND(AB41="Probabilidad",AB42="Impacto"),(AJ40-(+AJ40*W42)),IF(AB42="Probabilidad",AJ41,""))),"")</f>
        <v/>
      </c>
      <c r="AK42" s="397" t="str">
        <f>IFERROR(IF(OR(AND(AG42="Muy Baja",AI42="Leve"),AND(AG42="Muy Baja",AI42="Menor"),AND(AG42="Baja",AI42="Leve")),"Bajo",IF(OR(AND(AG42="Muy baja",AI42="Moderado"),AND(AG42="Baja",AI42="Menor"),AND(AG42="Baja",AI42="Moderado"),AND(AG42="Media",AI42="Leve"),AND(AG42="Media",AI42="Menor"),AND(AG42="Media",AI42="Moderado"),AND(AG42="Alta",AI42="Leve"),AND(AG42="Alta",AI42="Menor")),"Moderado",IF(OR(AND(AG42="Muy Baja",AI42="Mayor"),AND(AG42="Baja",AI42="Mayor"),AND(AG42="Media",AI42="Mayor"),AND(AG42="Alta",AI42="Moderado"),AND(AG42="Alta",AI42="Mayor"),AND(AG42="Muy Alta",AI42="Leve"),AND(AG42="Muy Alta",AI42="Menor"),AND(AG42="Muy Alta",AI42="Moderado"),AND(AG42="Muy Alta",AI42="Mayor")),"Alto",IF(OR(AND(AG42="Muy Baja",AI42="Catastrófico"),AND(AG42="Baja",AI42="Catastrófico"),AND(AG42="Media",AI42="Catastrófico"),AND(AG42="Alta",AI42="Catastrófico"),AND(AG42="Muy Alta",AI42="Catastrófico")),"Extremo","")))),"")</f>
        <v/>
      </c>
      <c r="AL42" s="398"/>
      <c r="AM42" s="399"/>
      <c r="AN42" s="399"/>
      <c r="AO42" s="400"/>
      <c r="AP42" s="400"/>
      <c r="AQ42" s="400"/>
      <c r="AR42" s="401"/>
      <c r="AS42" s="401"/>
      <c r="AT42" s="399"/>
      <c r="AU42" s="388"/>
      <c r="AV42" s="348"/>
      <c r="AW42" s="348"/>
      <c r="AX42" s="348"/>
      <c r="AY42" s="348"/>
      <c r="AZ42" s="348"/>
      <c r="BA42" s="348"/>
      <c r="BB42" s="348"/>
      <c r="BC42" s="348"/>
      <c r="BD42" s="348"/>
      <c r="BE42" s="348"/>
      <c r="BF42" s="348"/>
      <c r="BG42" s="348"/>
      <c r="BH42" s="348"/>
      <c r="BI42" s="348"/>
      <c r="BJ42" s="348"/>
      <c r="BK42" s="348"/>
      <c r="BL42" s="348"/>
      <c r="BM42" s="348"/>
      <c r="BN42" s="348"/>
      <c r="BO42" s="348"/>
      <c r="BP42" s="348"/>
      <c r="BQ42" s="348"/>
      <c r="BR42" s="348"/>
      <c r="BS42" s="348"/>
      <c r="BT42" s="348"/>
      <c r="BU42" s="348"/>
      <c r="BV42" s="348"/>
      <c r="BW42" s="348"/>
      <c r="BX42" s="348"/>
      <c r="BY42" s="348"/>
      <c r="BZ42" s="348"/>
      <c r="CA42" s="348"/>
    </row>
    <row r="43" spans="1:79" ht="45.75" customHeight="1" x14ac:dyDescent="0.25">
      <c r="A43" s="404"/>
      <c r="B43" s="405"/>
      <c r="C43" s="405"/>
      <c r="D43" s="406"/>
      <c r="E43" s="406"/>
      <c r="F43" s="406"/>
      <c r="G43" s="427"/>
      <c r="H43" s="406"/>
      <c r="I43" s="406"/>
      <c r="J43" s="406"/>
      <c r="K43" s="404"/>
      <c r="L43" s="408"/>
      <c r="M43" s="409"/>
      <c r="N43" s="410"/>
      <c r="O43" s="409">
        <f t="shared" ca="1" si="28"/>
        <v>0</v>
      </c>
      <c r="P43" s="408"/>
      <c r="Q43" s="409"/>
      <c r="R43" s="411"/>
      <c r="S43" s="412">
        <v>4</v>
      </c>
      <c r="T43" s="389"/>
      <c r="U43" s="414"/>
      <c r="V43" s="414"/>
      <c r="W43" s="413" t="str">
        <f t="shared" si="29"/>
        <v/>
      </c>
      <c r="X43" s="414"/>
      <c r="Y43" s="414"/>
      <c r="Z43" s="414"/>
      <c r="AA43" s="415" t="str">
        <f>IFERROR(IF(AND(AB42="Probabilidad",AB43="Probabilidad"),(AH42-(+AH42*W43)),IF(AND(AB42="Impacto",AB43="Probabilidad"),(W42-(+W42*W43)),IF(AB43="Impacto",AB42,""))),"")</f>
        <v/>
      </c>
      <c r="AB43" s="392" t="str">
        <f t="shared" si="2"/>
        <v/>
      </c>
      <c r="AC43" s="393"/>
      <c r="AD43" s="393"/>
      <c r="AE43" s="393"/>
      <c r="AF43" s="394"/>
      <c r="AG43" s="417" t="str">
        <f t="shared" si="25"/>
        <v/>
      </c>
      <c r="AH43" s="416" t="str">
        <f t="shared" si="26"/>
        <v/>
      </c>
      <c r="AI43" s="395" t="str">
        <f t="shared" si="5"/>
        <v/>
      </c>
      <c r="AJ43" s="396" t="str">
        <f>IFERROR(IF(AND(AB42="Impacto",AB43="Impacto"),(AJ42-(+AJ42*W43)),IF(AND(AB42="Probabilidad",AB43="Impacto"),(AJ41-(+AJ41*W43)),IF(AB43="Probabilidad",AJ42,""))),"")</f>
        <v/>
      </c>
      <c r="AK43" s="397" t="str">
        <f t="shared" ref="AK43:AK45" si="30">IFERROR(IF(OR(AND(AG43="Muy Baja",AI43="Leve"),AND(AG43="Muy Baja",AI43="Menor"),AND(AG43="Baja",AI43="Leve")),"Bajo",IF(OR(AND(AG43="Muy baja",AI43="Moderado"),AND(AG43="Baja",AI43="Menor"),AND(AG43="Baja",AI43="Moderado"),AND(AG43="Media",AI43="Leve"),AND(AG43="Media",AI43="Menor"),AND(AG43="Media",AI43="Moderado"),AND(AG43="Alta",AI43="Leve"),AND(AG43="Alta",AI43="Menor")),"Moderado",IF(OR(AND(AG43="Muy Baja",AI43="Mayor"),AND(AG43="Baja",AI43="Mayor"),AND(AG43="Media",AI43="Mayor"),AND(AG43="Alta",AI43="Moderado"),AND(AG43="Alta",AI43="Mayor"),AND(AG43="Muy Alta",AI43="Leve"),AND(AG43="Muy Alta",AI43="Menor"),AND(AG43="Muy Alta",AI43="Moderado"),AND(AG43="Muy Alta",AI43="Mayor")),"Alto",IF(OR(AND(AG43="Muy Baja",AI43="Catastrófico"),AND(AG43="Baja",AI43="Catastrófico"),AND(AG43="Media",AI43="Catastrófico"),AND(AG43="Alta",AI43="Catastrófico"),AND(AG43="Muy Alta",AI43="Catastrófico")),"Extremo","")))),"")</f>
        <v/>
      </c>
      <c r="AL43" s="398"/>
      <c r="AM43" s="399"/>
      <c r="AN43" s="399"/>
      <c r="AO43" s="400"/>
      <c r="AP43" s="400"/>
      <c r="AQ43" s="400"/>
      <c r="AR43" s="401"/>
      <c r="AS43" s="401"/>
      <c r="AT43" s="399"/>
      <c r="AU43" s="388"/>
      <c r="AV43" s="348"/>
      <c r="AW43" s="348"/>
      <c r="AX43" s="348"/>
      <c r="AY43" s="348"/>
      <c r="AZ43" s="348"/>
      <c r="BA43" s="348"/>
      <c r="BB43" s="348"/>
      <c r="BC43" s="348"/>
      <c r="BD43" s="348"/>
      <c r="BE43" s="348"/>
      <c r="BF43" s="348"/>
      <c r="BG43" s="348"/>
      <c r="BH43" s="348"/>
      <c r="BI43" s="348"/>
      <c r="BJ43" s="348"/>
      <c r="BK43" s="348"/>
      <c r="BL43" s="348"/>
      <c r="BM43" s="348"/>
      <c r="BN43" s="348"/>
      <c r="BO43" s="348"/>
      <c r="BP43" s="348"/>
      <c r="BQ43" s="348"/>
      <c r="BR43" s="348"/>
      <c r="BS43" s="348"/>
      <c r="BT43" s="348"/>
      <c r="BU43" s="348"/>
      <c r="BV43" s="348"/>
      <c r="BW43" s="348"/>
      <c r="BX43" s="348"/>
      <c r="BY43" s="348"/>
      <c r="BZ43" s="348"/>
      <c r="CA43" s="348"/>
    </row>
    <row r="44" spans="1:79" ht="45.75" customHeight="1" x14ac:dyDescent="0.25">
      <c r="A44" s="404"/>
      <c r="B44" s="405"/>
      <c r="C44" s="405"/>
      <c r="D44" s="406"/>
      <c r="E44" s="406"/>
      <c r="F44" s="406"/>
      <c r="G44" s="427"/>
      <c r="H44" s="406"/>
      <c r="I44" s="406"/>
      <c r="J44" s="406"/>
      <c r="K44" s="404"/>
      <c r="L44" s="408"/>
      <c r="M44" s="409"/>
      <c r="N44" s="410"/>
      <c r="O44" s="409">
        <f t="shared" ca="1" si="28"/>
        <v>0</v>
      </c>
      <c r="P44" s="408"/>
      <c r="Q44" s="409"/>
      <c r="R44" s="411"/>
      <c r="S44" s="412">
        <v>5</v>
      </c>
      <c r="T44" s="389"/>
      <c r="U44" s="414"/>
      <c r="V44" s="414"/>
      <c r="W44" s="413" t="str">
        <f t="shared" si="29"/>
        <v/>
      </c>
      <c r="X44" s="414"/>
      <c r="Y44" s="414"/>
      <c r="Z44" s="414"/>
      <c r="AA44" s="415" t="str">
        <f>IFERROR(IF(AND(AB43="Probabilidad",AB44="Probabilidad"),(AH43-(+AH43*W44)),IF(AND(AB43="Impacto",AB44="Probabilidad"),(W43-(+W43*W44)),IF(AB44="Impacto",AB43,""))),"")</f>
        <v/>
      </c>
      <c r="AB44" s="392" t="str">
        <f t="shared" si="2"/>
        <v/>
      </c>
      <c r="AC44" s="393"/>
      <c r="AD44" s="393"/>
      <c r="AE44" s="393"/>
      <c r="AF44" s="394"/>
      <c r="AG44" s="417" t="str">
        <f t="shared" si="25"/>
        <v/>
      </c>
      <c r="AH44" s="416" t="str">
        <f t="shared" si="26"/>
        <v/>
      </c>
      <c r="AI44" s="395" t="str">
        <f t="shared" si="5"/>
        <v/>
      </c>
      <c r="AJ44" s="396" t="str">
        <f>IFERROR(IF(AND(AB43="Impacto",AB44="Impacto"),(AJ43-(+AJ43*W44)),IF(AND(AB43="Probabilidad",AB44="Impacto"),(AJ42-(+AJ42*W44)),IF(AB44="Probabilidad",AJ43,""))),"")</f>
        <v/>
      </c>
      <c r="AK44" s="397" t="str">
        <f t="shared" si="30"/>
        <v/>
      </c>
      <c r="AL44" s="398"/>
      <c r="AM44" s="399"/>
      <c r="AN44" s="399"/>
      <c r="AO44" s="400"/>
      <c r="AP44" s="400"/>
      <c r="AQ44" s="400"/>
      <c r="AR44" s="401"/>
      <c r="AS44" s="401"/>
      <c r="AT44" s="399"/>
      <c r="AU44" s="388"/>
      <c r="AV44" s="348"/>
      <c r="AW44" s="348"/>
      <c r="AX44" s="348"/>
      <c r="AY44" s="348"/>
      <c r="AZ44" s="348"/>
      <c r="BA44" s="348"/>
      <c r="BB44" s="348"/>
      <c r="BC44" s="348"/>
      <c r="BD44" s="348"/>
      <c r="BE44" s="348"/>
      <c r="BF44" s="348"/>
      <c r="BG44" s="348"/>
      <c r="BH44" s="348"/>
      <c r="BI44" s="348"/>
      <c r="BJ44" s="348"/>
      <c r="BK44" s="348"/>
      <c r="BL44" s="348"/>
      <c r="BM44" s="348"/>
      <c r="BN44" s="348"/>
      <c r="BO44" s="348"/>
      <c r="BP44" s="348"/>
      <c r="BQ44" s="348"/>
      <c r="BR44" s="348"/>
      <c r="BS44" s="348"/>
      <c r="BT44" s="348"/>
      <c r="BU44" s="348"/>
      <c r="BV44" s="348"/>
      <c r="BW44" s="348"/>
      <c r="BX44" s="348"/>
      <c r="BY44" s="348"/>
      <c r="BZ44" s="348"/>
      <c r="CA44" s="348"/>
    </row>
    <row r="45" spans="1:79" ht="45.75" customHeight="1" x14ac:dyDescent="0.25">
      <c r="A45" s="418"/>
      <c r="B45" s="419"/>
      <c r="C45" s="419"/>
      <c r="D45" s="420"/>
      <c r="E45" s="420"/>
      <c r="F45" s="420"/>
      <c r="G45" s="428"/>
      <c r="H45" s="420"/>
      <c r="I45" s="420"/>
      <c r="J45" s="420"/>
      <c r="K45" s="418"/>
      <c r="L45" s="422"/>
      <c r="M45" s="423"/>
      <c r="N45" s="424"/>
      <c r="O45" s="423">
        <f ca="1">IF(NOT(ISERROR(MATCH(N45,_xlfn.ANCHORARRAY(G56),0))),#REF!&amp;"Por favor no seleccionar los criterios de impacto",N45)</f>
        <v>0</v>
      </c>
      <c r="P45" s="422"/>
      <c r="Q45" s="423"/>
      <c r="R45" s="425"/>
      <c r="S45" s="412">
        <v>6</v>
      </c>
      <c r="T45" s="389"/>
      <c r="U45" s="414"/>
      <c r="V45" s="414"/>
      <c r="W45" s="413" t="str">
        <f t="shared" si="29"/>
        <v/>
      </c>
      <c r="X45" s="414"/>
      <c r="Y45" s="414"/>
      <c r="Z45" s="414"/>
      <c r="AA45" s="415" t="str">
        <f>IFERROR(IF(AND(AB44="Probabilidad",AB45="Probabilidad"),(AH44-(+AH44*W45)),IF(AND(AB44="Impacto",AB45="Probabilidad"),(W44-(+W44*W45)),IF(AB45="Impacto",AB44,""))),"")</f>
        <v/>
      </c>
      <c r="AB45" s="392" t="str">
        <f t="shared" si="2"/>
        <v/>
      </c>
      <c r="AC45" s="393"/>
      <c r="AD45" s="393"/>
      <c r="AE45" s="393"/>
      <c r="AF45" s="394"/>
      <c r="AG45" s="417" t="str">
        <f t="shared" si="25"/>
        <v/>
      </c>
      <c r="AH45" s="416" t="str">
        <f t="shared" si="26"/>
        <v/>
      </c>
      <c r="AI45" s="395" t="str">
        <f t="shared" si="5"/>
        <v/>
      </c>
      <c r="AJ45" s="396" t="str">
        <f>IFERROR(IF(AND(AB44="Impacto",AB45="Impacto"),(AJ44-(+AJ44*W45)),IF(AND(AB44="Probabilidad",AB45="Impacto"),(AJ43-(+AJ43*W45)),IF(AB45="Probabilidad",AJ44,""))),"")</f>
        <v/>
      </c>
      <c r="AK45" s="397" t="str">
        <f t="shared" si="30"/>
        <v/>
      </c>
      <c r="AL45" s="398"/>
      <c r="AM45" s="399"/>
      <c r="AN45" s="399"/>
      <c r="AO45" s="400"/>
      <c r="AP45" s="400"/>
      <c r="AQ45" s="400"/>
      <c r="AR45" s="401"/>
      <c r="AS45" s="401"/>
      <c r="AT45" s="399"/>
      <c r="AU45" s="388"/>
      <c r="AV45" s="348"/>
      <c r="AW45" s="348"/>
      <c r="AX45" s="348"/>
      <c r="AY45" s="348"/>
      <c r="AZ45" s="348"/>
      <c r="BA45" s="348"/>
      <c r="BB45" s="348"/>
      <c r="BC45" s="348"/>
      <c r="BD45" s="348"/>
      <c r="BE45" s="348"/>
      <c r="BF45" s="348"/>
      <c r="BG45" s="348"/>
      <c r="BH45" s="348"/>
      <c r="BI45" s="348"/>
      <c r="BJ45" s="348"/>
      <c r="BK45" s="348"/>
      <c r="BL45" s="348"/>
      <c r="BM45" s="348"/>
      <c r="BN45" s="348"/>
      <c r="BO45" s="348"/>
      <c r="BP45" s="348"/>
      <c r="BQ45" s="348"/>
      <c r="BR45" s="348"/>
      <c r="BS45" s="348"/>
      <c r="BT45" s="348"/>
      <c r="BU45" s="348"/>
      <c r="BV45" s="348"/>
      <c r="BW45" s="348"/>
      <c r="BX45" s="348"/>
      <c r="BY45" s="348"/>
      <c r="BZ45" s="348"/>
      <c r="CA45" s="348"/>
    </row>
    <row r="46" spans="1:79" ht="45.75" customHeight="1" x14ac:dyDescent="0.25">
      <c r="A46" s="380">
        <v>8</v>
      </c>
      <c r="B46" s="381" t="s">
        <v>352</v>
      </c>
      <c r="C46" s="381" t="s">
        <v>218</v>
      </c>
      <c r="D46" s="382" t="s">
        <v>130</v>
      </c>
      <c r="E46" s="382" t="s">
        <v>353</v>
      </c>
      <c r="F46" s="382" t="s">
        <v>315</v>
      </c>
      <c r="G46" s="383" t="s">
        <v>354</v>
      </c>
      <c r="H46" s="382" t="s">
        <v>126</v>
      </c>
      <c r="I46" s="382" t="s">
        <v>241</v>
      </c>
      <c r="J46" s="382" t="s">
        <v>355</v>
      </c>
      <c r="K46" s="380" t="s">
        <v>102</v>
      </c>
      <c r="L46" s="384" t="str">
        <f>IF(K46&lt;=0,"",IF(K46&lt;="La actividad que conlleva el riesgo se ejecuta como máximos 2 veces por año","Muy Baja",IF(K46="La actividad que conlleva el riesgo se ejecuta de 3 a 24 veces por año","Baja",IF(K46="La actividad que conlleva el riesgo se ejecuta de 24 a 500 veces por año","Media",IF(K46="La actividad que conlleva el riesgo se ejecuta mínimo 500 veces al año y máximo 5000 veces por año","Alta","Muy Alta")))))</f>
        <v>Media</v>
      </c>
      <c r="M46" s="385">
        <f>IF(L46="","",IF(L46="Muy Baja",0.2,IF(L46="Baja",0.4,IF(L46="Media",0.6,IF(L46="Alta",0.8,IF(L46="Muy Alta",1,))))))</f>
        <v>0.6</v>
      </c>
      <c r="N46" s="386" t="s">
        <v>148</v>
      </c>
      <c r="O46" s="385" t="str">
        <f ca="1">IF(NOT(ISERROR(MATCH(N46,'Tabla Impacto'!$B$221:$B$223,0))),'Tabla Impacto'!$F$223&amp;"Por favor no seleccionar los criterios de impacto(Afectación Económica o presupuestal y Pérdida Reputacional)",N46)</f>
        <v xml:space="preserve">     El riesgo afecta la imagen de la entidad internamente, de conocimiento general, nivel interno, de junta dircetiva y accionistas y/o de provedores</v>
      </c>
      <c r="P46" s="384" t="str">
        <f ca="1">IF(OR(O46='Tabla Impacto'!$C$11,O46='Tabla Impacto'!$D$11),"Leve",IF(OR(O46='Tabla Impacto'!$C$12,O46='Tabla Impacto'!$D$12),"Menor",IF(OR(O46='Tabla Impacto'!$C$13,O46='Tabla Impacto'!$D$13),"Moderado",IF(OR(O46='Tabla Impacto'!$C$14,O46='Tabla Impacto'!$D$14),"Mayor",IF(OR(O46='Tabla Impacto'!$C$15,O46='Tabla Impacto'!$D$15),"Catastrófico","")))))</f>
        <v>Menor</v>
      </c>
      <c r="Q46" s="385">
        <f ca="1">IF(P46="","",IF(P46="Leve",0.2,IF(P46="Menor",0.4,IF(P46="Moderado",0.6,IF(P46="Mayor",0.8,IF(P46="Catastrófico",1,))))))</f>
        <v>0.4</v>
      </c>
      <c r="R46" s="387" t="str">
        <f ca="1">IF(OR(AND(L46="Muy Baja",P46="Leve"),AND(L46="Muy Baja",P46="Menor"),AND(L46="Baja",P46="Leve")),"Bajo",IF(OR(AND(L46="Muy baja",P46="Moderado"),AND(L46="Baja",P46="Menor"),AND(L46="Baja",P46="Moderado"),AND(L46="Media",P46="Leve"),AND(L46="Media",P46="Menor"),AND(L46="Media",P46="Moderado"),AND(L46="Alta",P46="Leve"),AND(L46="Alta",P46="Menor")),"Moderado",IF(OR(AND(L46="Muy Baja",P46="Mayor"),AND(L46="Baja",P46="Mayor"),AND(L46="Media",P46="Mayor"),AND(L46="Alta",P46="Moderado"),AND(L46="Alta",P46="Mayor"),AND(L46="Muy Alta",P46="Leve"),AND(L46="Muy Alta",P46="Menor"),AND(L46="Muy Alta",P46="Moderado"),AND(L46="Muy Alta",P46="Mayor")),"Alto",IF(OR(AND(L46="Muy Baja",P46="Catastrófico"),AND(L46="Baja",P46="Catastrófico"),AND(L46="Media",P46="Catastrófico"),AND(L46="Alta",P46="Catastrófico"),AND(L46="Muy Alta",P46="Catastrófico")),"Extremo",""))))</f>
        <v>Moderado</v>
      </c>
      <c r="S46" s="412">
        <v>1</v>
      </c>
      <c r="T46" s="430" t="s">
        <v>533</v>
      </c>
      <c r="U46" s="390" t="s">
        <v>14</v>
      </c>
      <c r="V46" s="390" t="s">
        <v>9</v>
      </c>
      <c r="W46" s="391" t="str">
        <f>IF(AND(U46="Preventivo",V46="Automático"),"50%",IF(AND(U46="Preventivo",V46="Manual"),"40%",IF(AND(U46="Detectivo",V46="Automático"),"40%",IF(AND(U46="Detectivo",V46="Manual"),"30%",IF(AND(U46="Correctivo",V46="Automático"),"35%",IF(AND(U46="Correctivo",V46="Manual"),"25%",""))))))</f>
        <v>40%</v>
      </c>
      <c r="X46" s="390" t="s">
        <v>19</v>
      </c>
      <c r="Y46" s="390" t="s">
        <v>22</v>
      </c>
      <c r="Z46" s="390" t="s">
        <v>117</v>
      </c>
      <c r="AA46" s="392">
        <f>IFERROR(IF(AB46="Probabilidad",(M46-(+M46*W46)),IF(AB46="Impacto",M46,"")),"")</f>
        <v>0.36</v>
      </c>
      <c r="AB46" s="392" t="str">
        <f t="shared" si="2"/>
        <v>Probabilidad</v>
      </c>
      <c r="AC46" s="393" t="s">
        <v>539</v>
      </c>
      <c r="AD46" s="393" t="s">
        <v>319</v>
      </c>
      <c r="AE46" s="393" t="s">
        <v>286</v>
      </c>
      <c r="AF46" s="394" t="s">
        <v>248</v>
      </c>
      <c r="AG46" s="395" t="str">
        <f t="shared" si="25"/>
        <v>Baja</v>
      </c>
      <c r="AH46" s="396">
        <f t="shared" si="26"/>
        <v>0.36</v>
      </c>
      <c r="AI46" s="395" t="str">
        <f t="shared" ca="1" si="5"/>
        <v>Menor</v>
      </c>
      <c r="AJ46" s="396">
        <f ca="1">IFERROR(IF(AB46="Impacto",(Q46-(+Q46*W46)),IF(AB46="Probabilidad",Q46,"")),"")</f>
        <v>0.4</v>
      </c>
      <c r="AK46" s="397" t="str">
        <f ca="1">IFERROR(IF(OR(AND(AG46="Muy Baja",AI46="Leve"),AND(AG46="Muy Baja",AI46="Menor"),AND(AG46="Baja",AI46="Leve")),"Bajo",IF(OR(AND(AG46="Muy baja",AI46="Moderado"),AND(AG46="Baja",AI46="Menor"),AND(AG46="Baja",AI46="Moderado"),AND(AG46="Media",AI46="Leve"),AND(AG46="Media",AI46="Menor"),AND(AG46="Media",AI46="Moderado"),AND(AG46="Alta",AI46="Leve"),AND(AG46="Alta",AI46="Menor")),"Moderado",IF(OR(AND(AG46="Muy Baja",AI46="Mayor"),AND(AG46="Baja",AI46="Mayor"),AND(AG46="Media",AI46="Mayor"),AND(AG46="Alta",AI46="Moderado"),AND(AG46="Alta",AI46="Mayor"),AND(AG46="Muy Alta",AI46="Leve"),AND(AG46="Muy Alta",AI46="Menor"),AND(AG46="Muy Alta",AI46="Moderado"),AND(AG46="Muy Alta",AI46="Mayor")),"Alto",IF(OR(AND(AG46="Muy Baja",AI46="Catastrófico"),AND(AG46="Baja",AI46="Catastrófico"),AND(AG46="Media",AI46="Catastrófico"),AND(AG46="Alta",AI46="Catastrófico"),AND(AG46="Muy Alta",AI46="Catastrófico")),"Extremo","")))),"")</f>
        <v>Moderado</v>
      </c>
      <c r="AL46" s="398" t="s">
        <v>31</v>
      </c>
      <c r="AM46" s="399"/>
      <c r="AN46" s="399"/>
      <c r="AO46" s="400"/>
      <c r="AP46" s="400"/>
      <c r="AQ46" s="400"/>
      <c r="AR46" s="401"/>
      <c r="AS46" s="401"/>
      <c r="AT46" s="399"/>
      <c r="AU46" s="388"/>
      <c r="AV46" s="348"/>
      <c r="AW46" s="348"/>
      <c r="AX46" s="348"/>
      <c r="AY46" s="348"/>
      <c r="AZ46" s="348"/>
      <c r="BA46" s="348"/>
      <c r="BB46" s="348"/>
      <c r="BC46" s="348"/>
      <c r="BD46" s="348"/>
      <c r="BE46" s="348"/>
      <c r="BF46" s="348"/>
      <c r="BG46" s="348"/>
      <c r="BH46" s="348"/>
      <c r="BI46" s="348"/>
      <c r="BJ46" s="348"/>
      <c r="BK46" s="348"/>
      <c r="BL46" s="348"/>
      <c r="BM46" s="348"/>
      <c r="BN46" s="348"/>
      <c r="BO46" s="348"/>
      <c r="BP46" s="348"/>
      <c r="BQ46" s="348"/>
      <c r="BR46" s="348"/>
      <c r="BS46" s="348"/>
      <c r="BT46" s="348"/>
      <c r="BU46" s="348"/>
      <c r="BV46" s="348"/>
      <c r="BW46" s="348"/>
      <c r="BX46" s="348"/>
      <c r="BY46" s="348"/>
      <c r="BZ46" s="348"/>
      <c r="CA46" s="348"/>
    </row>
    <row r="47" spans="1:79" ht="45.75" customHeight="1" x14ac:dyDescent="0.25">
      <c r="A47" s="404"/>
      <c r="B47" s="405"/>
      <c r="C47" s="405"/>
      <c r="D47" s="406"/>
      <c r="E47" s="406"/>
      <c r="F47" s="406"/>
      <c r="G47" s="407"/>
      <c r="H47" s="406"/>
      <c r="I47" s="406"/>
      <c r="J47" s="406"/>
      <c r="K47" s="404"/>
      <c r="L47" s="408"/>
      <c r="M47" s="409"/>
      <c r="N47" s="410"/>
      <c r="O47" s="409">
        <f ca="1">IF(NOT(ISERROR(MATCH(N47,_xlfn.ANCHORARRAY(#REF!),0))),#REF!&amp;"Por favor no seleccionar los criterios de impacto",N47)</f>
        <v>0</v>
      </c>
      <c r="P47" s="408"/>
      <c r="Q47" s="409"/>
      <c r="R47" s="411"/>
      <c r="S47" s="412">
        <v>2</v>
      </c>
      <c r="T47" s="389" t="s">
        <v>538</v>
      </c>
      <c r="U47" s="414" t="s">
        <v>14</v>
      </c>
      <c r="V47" s="414" t="s">
        <v>9</v>
      </c>
      <c r="W47" s="391" t="str">
        <f t="shared" ref="W47:W51" si="31">IF(AND(U47="Preventivo",V47="Automático"),"50%",IF(AND(U47="Preventivo",V47="Manual"),"40%",IF(AND(U47="Detectivo",V47="Automático"),"40%",IF(AND(U47="Detectivo",V47="Manual"),"30%",IF(AND(U47="Correctivo",V47="Automático"),"35%",IF(AND(U47="Correctivo",V47="Manual"),"25%",""))))))</f>
        <v>40%</v>
      </c>
      <c r="X47" s="414" t="s">
        <v>19</v>
      </c>
      <c r="Y47" s="414" t="s">
        <v>22</v>
      </c>
      <c r="Z47" s="414" t="s">
        <v>117</v>
      </c>
      <c r="AA47" s="392">
        <f>IFERROR(IF(AND(AB46="Probabilidad",AB47="Probabilidad"),(AH46-(+AH46*W47)),IF(AB47="Probabilidad",(M46-(+M46*W47)),IF(AB47="Impacto",AH46,""))),"")</f>
        <v>0.216</v>
      </c>
      <c r="AB47" s="392" t="str">
        <f t="shared" si="2"/>
        <v>Probabilidad</v>
      </c>
      <c r="AC47" s="393" t="s">
        <v>540</v>
      </c>
      <c r="AD47" s="393" t="s">
        <v>319</v>
      </c>
      <c r="AE47" s="393" t="s">
        <v>286</v>
      </c>
      <c r="AF47" s="394" t="s">
        <v>248</v>
      </c>
      <c r="AG47" s="395" t="str">
        <f t="shared" si="25"/>
        <v>Baja</v>
      </c>
      <c r="AH47" s="396">
        <f t="shared" si="26"/>
        <v>0.216</v>
      </c>
      <c r="AI47" s="395" t="str">
        <f t="shared" ca="1" si="5"/>
        <v>Menor</v>
      </c>
      <c r="AJ47" s="396">
        <f ca="1">IFERROR(IF(AND(AB46="Impacto",AB47="Impacto"),(AJ46-(+AJ46*W47)),IF(AB47="Impacto",($Q$10-(+$Q$10*AB47)),IF(AB47="Probabilidad",AJ46,""))),"")</f>
        <v>0.4</v>
      </c>
      <c r="AK47" s="397" t="str">
        <f ca="1">IFERROR(IF(OR(AND(AG47="Muy Baja",AI47="Leve"),AND(AG47="Muy Baja",AI47="Menor"),AND(AG47="Baja",AI47="Leve")),"Bajo",IF(OR(AND(AG47="Muy baja",AI47="Moderado"),AND(AG47="Baja",AI47="Menor"),AND(AG47="Baja",AI47="Moderado"),AND(AG47="Media",AI47="Leve"),AND(AG47="Media",AI47="Menor"),AND(AG47="Media",AI47="Moderado"),AND(AG47="Alta",AI47="Leve"),AND(AG47="Alta",AI47="Menor")),"Moderado",IF(OR(AND(AG47="Muy Baja",AI47="Mayor"),AND(AG47="Baja",AI47="Mayor"),AND(AG47="Media",AI47="Mayor"),AND(AG47="Alta",AI47="Moderado"),AND(AG47="Alta",AI47="Mayor"),AND(AG47="Muy Alta",AI47="Leve"),AND(AG47="Muy Alta",AI47="Menor"),AND(AG47="Muy Alta",AI47="Moderado"),AND(AG47="Muy Alta",AI47="Mayor")),"Alto",IF(OR(AND(AG47="Muy Baja",AI47="Catastrófico"),AND(AG47="Baja",AI47="Catastrófico"),AND(AG47="Media",AI47="Catastrófico"),AND(AG47="Alta",AI47="Catastrófico"),AND(AG47="Muy Alta",AI47="Catastrófico")),"Extremo","")))),"")</f>
        <v>Moderado</v>
      </c>
      <c r="AL47" s="398" t="s">
        <v>31</v>
      </c>
      <c r="AM47" s="399"/>
      <c r="AN47" s="399"/>
      <c r="AO47" s="400"/>
      <c r="AP47" s="400"/>
      <c r="AQ47" s="400"/>
      <c r="AR47" s="401"/>
      <c r="AS47" s="401"/>
      <c r="AT47" s="399"/>
      <c r="AU47" s="388"/>
      <c r="AV47" s="348"/>
      <c r="AW47" s="348"/>
      <c r="AX47" s="348"/>
      <c r="AY47" s="348"/>
      <c r="AZ47" s="348"/>
      <c r="BA47" s="348"/>
      <c r="BB47" s="348"/>
      <c r="BC47" s="348"/>
      <c r="BD47" s="348"/>
      <c r="BE47" s="348"/>
      <c r="BF47" s="348"/>
      <c r="BG47" s="348"/>
      <c r="BH47" s="348"/>
      <c r="BI47" s="348"/>
      <c r="BJ47" s="348"/>
      <c r="BK47" s="348"/>
      <c r="BL47" s="348"/>
      <c r="BM47" s="348"/>
      <c r="BN47" s="348"/>
      <c r="BO47" s="348"/>
      <c r="BP47" s="348"/>
      <c r="BQ47" s="348"/>
      <c r="BR47" s="348"/>
      <c r="BS47" s="348"/>
      <c r="BT47" s="348"/>
      <c r="BU47" s="348"/>
      <c r="BV47" s="348"/>
      <c r="BW47" s="348"/>
      <c r="BX47" s="348"/>
      <c r="BY47" s="348"/>
      <c r="BZ47" s="348"/>
      <c r="CA47" s="348"/>
    </row>
    <row r="48" spans="1:79" ht="45.75" customHeight="1" x14ac:dyDescent="0.25">
      <c r="A48" s="404"/>
      <c r="B48" s="405"/>
      <c r="C48" s="405"/>
      <c r="D48" s="406"/>
      <c r="E48" s="406"/>
      <c r="F48" s="406"/>
      <c r="G48" s="407"/>
      <c r="H48" s="406"/>
      <c r="I48" s="406"/>
      <c r="J48" s="406"/>
      <c r="K48" s="404"/>
      <c r="L48" s="408"/>
      <c r="M48" s="409"/>
      <c r="N48" s="410"/>
      <c r="O48" s="409">
        <f ca="1">IF(NOT(ISERROR(MATCH(N48,_xlfn.ANCHORARRAY(#REF!),0))),#REF!&amp;"Por favor no seleccionar los criterios de impacto",N48)</f>
        <v>0</v>
      </c>
      <c r="P48" s="408"/>
      <c r="Q48" s="409"/>
      <c r="R48" s="411"/>
      <c r="S48" s="412">
        <v>3</v>
      </c>
      <c r="T48" s="389" t="s">
        <v>307</v>
      </c>
      <c r="U48" s="414" t="s">
        <v>14</v>
      </c>
      <c r="V48" s="414" t="s">
        <v>10</v>
      </c>
      <c r="W48" s="391" t="str">
        <f t="shared" si="31"/>
        <v>50%</v>
      </c>
      <c r="X48" s="414" t="s">
        <v>19</v>
      </c>
      <c r="Y48" s="414" t="s">
        <v>22</v>
      </c>
      <c r="Z48" s="414" t="s">
        <v>117</v>
      </c>
      <c r="AA48" s="392">
        <f>IFERROR(IF(AND(AB47="Probabilidad",AB48="Probabilidad"),(AH47-(+AH47*W48)),IF(AND(AB47="Impacto",AB48="Probabilidad"),(W47-(+W47*W48)),IF(AB48="Impacto",AB47,""))),"")</f>
        <v>0.108</v>
      </c>
      <c r="AB48" s="392" t="str">
        <f t="shared" si="2"/>
        <v>Probabilidad</v>
      </c>
      <c r="AC48" s="393" t="s">
        <v>541</v>
      </c>
      <c r="AD48" s="393" t="s">
        <v>542</v>
      </c>
      <c r="AE48" s="393" t="s">
        <v>286</v>
      </c>
      <c r="AF48" s="394" t="s">
        <v>248</v>
      </c>
      <c r="AG48" s="417" t="str">
        <f t="shared" si="25"/>
        <v>Muy Baja</v>
      </c>
      <c r="AH48" s="416">
        <f t="shared" si="26"/>
        <v>0.108</v>
      </c>
      <c r="AI48" s="395" t="str">
        <f t="shared" ca="1" si="5"/>
        <v>Menor</v>
      </c>
      <c r="AJ48" s="396">
        <f ca="1">IFERROR(IF(AND(AB47="Impacto",AB48="Impacto"),(AJ47-(+AJ47*W48)),IF(AND(AB47="Probabilidad",AB48="Impacto"),(AJ46-(+AJ46*W48)),IF(AB48="Probabilidad",AJ47,""))),"")</f>
        <v>0.4</v>
      </c>
      <c r="AK48" s="397" t="str">
        <f ca="1">IFERROR(IF(OR(AND(AG48="Muy Baja",AI48="Leve"),AND(AG48="Muy Baja",AI48="Menor"),AND(AG48="Baja",AI48="Leve")),"Bajo",IF(OR(AND(AG48="Muy baja",AI48="Moderado"),AND(AG48="Baja",AI48="Menor"),AND(AG48="Baja",AI48="Moderado"),AND(AG48="Media",AI48="Leve"),AND(AG48="Media",AI48="Menor"),AND(AG48="Media",AI48="Moderado"),AND(AG48="Alta",AI48="Leve"),AND(AG48="Alta",AI48="Menor")),"Moderado",IF(OR(AND(AG48="Muy Baja",AI48="Mayor"),AND(AG48="Baja",AI48="Mayor"),AND(AG48="Media",AI48="Mayor"),AND(AG48="Alta",AI48="Moderado"),AND(AG48="Alta",AI48="Mayor"),AND(AG48="Muy Alta",AI48="Leve"),AND(AG48="Muy Alta",AI48="Menor"),AND(AG48="Muy Alta",AI48="Moderado"),AND(AG48="Muy Alta",AI48="Mayor")),"Alto",IF(OR(AND(AG48="Muy Baja",AI48="Catastrófico"),AND(AG48="Baja",AI48="Catastrófico"),AND(AG48="Media",AI48="Catastrófico"),AND(AG48="Alta",AI48="Catastrófico"),AND(AG48="Muy Alta",AI48="Catastrófico")),"Extremo","")))),"")</f>
        <v>Bajo</v>
      </c>
      <c r="AL48" s="398" t="s">
        <v>132</v>
      </c>
      <c r="AM48" s="399" t="s">
        <v>310</v>
      </c>
      <c r="AN48" s="399" t="s">
        <v>300</v>
      </c>
      <c r="AO48" s="400" t="s">
        <v>530</v>
      </c>
      <c r="AP48" s="400" t="s">
        <v>458</v>
      </c>
      <c r="AQ48" s="400" t="s">
        <v>459</v>
      </c>
      <c r="AR48" s="401">
        <v>44866</v>
      </c>
      <c r="AS48" s="401" t="s">
        <v>311</v>
      </c>
      <c r="AT48" s="399" t="s">
        <v>300</v>
      </c>
      <c r="AU48" s="388" t="s">
        <v>41</v>
      </c>
      <c r="AV48" s="348"/>
      <c r="AW48" s="348"/>
      <c r="AX48" s="348"/>
      <c r="AY48" s="348"/>
      <c r="AZ48" s="348"/>
      <c r="BA48" s="348"/>
      <c r="BB48" s="348"/>
      <c r="BC48" s="348"/>
      <c r="BD48" s="348"/>
      <c r="BE48" s="348"/>
      <c r="BF48" s="348"/>
      <c r="BG48" s="348"/>
      <c r="BH48" s="348"/>
      <c r="BI48" s="348"/>
      <c r="BJ48" s="348"/>
      <c r="BK48" s="348"/>
      <c r="BL48" s="348"/>
      <c r="BM48" s="348"/>
      <c r="BN48" s="348"/>
      <c r="BO48" s="348"/>
      <c r="BP48" s="348"/>
      <c r="BQ48" s="348"/>
      <c r="BR48" s="348"/>
      <c r="BS48" s="348"/>
      <c r="BT48" s="348"/>
      <c r="BU48" s="348"/>
      <c r="BV48" s="348"/>
      <c r="BW48" s="348"/>
      <c r="BX48" s="348"/>
      <c r="BY48" s="348"/>
      <c r="BZ48" s="348"/>
      <c r="CA48" s="348"/>
    </row>
    <row r="49" spans="1:79" ht="45.75" customHeight="1" x14ac:dyDescent="0.25">
      <c r="A49" s="404"/>
      <c r="B49" s="405"/>
      <c r="C49" s="405"/>
      <c r="D49" s="406"/>
      <c r="E49" s="406"/>
      <c r="F49" s="406"/>
      <c r="G49" s="407"/>
      <c r="H49" s="406"/>
      <c r="I49" s="406"/>
      <c r="J49" s="406"/>
      <c r="K49" s="404"/>
      <c r="L49" s="408"/>
      <c r="M49" s="409"/>
      <c r="N49" s="410"/>
      <c r="O49" s="409">
        <f ca="1">IF(NOT(ISERROR(MATCH(N49,_xlfn.ANCHORARRAY(#REF!),0))),#REF!&amp;"Por favor no seleccionar los criterios de impacto",N49)</f>
        <v>0</v>
      </c>
      <c r="P49" s="408"/>
      <c r="Q49" s="409"/>
      <c r="R49" s="411"/>
      <c r="S49" s="412">
        <v>4</v>
      </c>
      <c r="T49" s="389" t="s">
        <v>309</v>
      </c>
      <c r="U49" s="414" t="s">
        <v>14</v>
      </c>
      <c r="V49" s="414" t="s">
        <v>10</v>
      </c>
      <c r="W49" s="391" t="str">
        <f t="shared" si="31"/>
        <v>50%</v>
      </c>
      <c r="X49" s="414" t="s">
        <v>19</v>
      </c>
      <c r="Y49" s="414" t="s">
        <v>22</v>
      </c>
      <c r="Z49" s="414" t="s">
        <v>117</v>
      </c>
      <c r="AA49" s="392">
        <f>IFERROR(IF(AND(AB48="Probabilidad",AB49="Probabilidad"),(AH48-(+AH48*W49)),IF(AND(AB48="Impacto",AB49="Probabilidad"),(W48-(+W48*W49)),IF(AB49="Impacto",AB48,""))),"")</f>
        <v>5.3999999999999999E-2</v>
      </c>
      <c r="AB49" s="392" t="str">
        <f t="shared" si="2"/>
        <v>Probabilidad</v>
      </c>
      <c r="AC49" s="393" t="s">
        <v>541</v>
      </c>
      <c r="AD49" s="393" t="s">
        <v>542</v>
      </c>
      <c r="AE49" s="393" t="s">
        <v>286</v>
      </c>
      <c r="AF49" s="394" t="s">
        <v>248</v>
      </c>
      <c r="AG49" s="417" t="str">
        <f t="shared" si="25"/>
        <v>Muy Baja</v>
      </c>
      <c r="AH49" s="416">
        <f t="shared" si="26"/>
        <v>5.3999999999999999E-2</v>
      </c>
      <c r="AI49" s="395" t="str">
        <f t="shared" ca="1" si="5"/>
        <v>Menor</v>
      </c>
      <c r="AJ49" s="396">
        <f ca="1">IFERROR(IF(AND(AB48="Impacto",AB49="Impacto"),(AJ48-(+AJ48*W49)),IF(AND(AB48="Probabilidad",AB49="Impacto"),(AJ47-(+AJ47*W49)),IF(AB49="Probabilidad",AJ48,""))),"")</f>
        <v>0.4</v>
      </c>
      <c r="AK49" s="397" t="str">
        <f t="shared" ref="AK49:AK51" ca="1" si="32">IFERROR(IF(OR(AND(AG49="Muy Baja",AI49="Leve"),AND(AG49="Muy Baja",AI49="Menor"),AND(AG49="Baja",AI49="Leve")),"Bajo",IF(OR(AND(AG49="Muy baja",AI49="Moderado"),AND(AG49="Baja",AI49="Menor"),AND(AG49="Baja",AI49="Moderado"),AND(AG49="Media",AI49="Leve"),AND(AG49="Media",AI49="Menor"),AND(AG49="Media",AI49="Moderado"),AND(AG49="Alta",AI49="Leve"),AND(AG49="Alta",AI49="Menor")),"Moderado",IF(OR(AND(AG49="Muy Baja",AI49="Mayor"),AND(AG49="Baja",AI49="Mayor"),AND(AG49="Media",AI49="Mayor"),AND(AG49="Alta",AI49="Moderado"),AND(AG49="Alta",AI49="Mayor"),AND(AG49="Muy Alta",AI49="Leve"),AND(AG49="Muy Alta",AI49="Menor"),AND(AG49="Muy Alta",AI49="Moderado"),AND(AG49="Muy Alta",AI49="Mayor")),"Alto",IF(OR(AND(AG49="Muy Baja",AI49="Catastrófico"),AND(AG49="Baja",AI49="Catastrófico"),AND(AG49="Media",AI49="Catastrófico"),AND(AG49="Alta",AI49="Catastrófico"),AND(AG49="Muy Alta",AI49="Catastrófico")),"Extremo","")))),"")</f>
        <v>Bajo</v>
      </c>
      <c r="AL49" s="398" t="s">
        <v>132</v>
      </c>
      <c r="AM49" s="399" t="s">
        <v>310</v>
      </c>
      <c r="AN49" s="399" t="s">
        <v>300</v>
      </c>
      <c r="AO49" s="400" t="s">
        <v>530</v>
      </c>
      <c r="AP49" s="400" t="s">
        <v>458</v>
      </c>
      <c r="AQ49" s="400" t="s">
        <v>459</v>
      </c>
      <c r="AR49" s="401">
        <v>44866</v>
      </c>
      <c r="AS49" s="401" t="s">
        <v>311</v>
      </c>
      <c r="AT49" s="399" t="s">
        <v>300</v>
      </c>
      <c r="AU49" s="388" t="s">
        <v>41</v>
      </c>
      <c r="AV49" s="348"/>
      <c r="AW49" s="348"/>
      <c r="AX49" s="348"/>
      <c r="AY49" s="348"/>
      <c r="AZ49" s="348"/>
      <c r="BA49" s="348"/>
      <c r="BB49" s="348"/>
      <c r="BC49" s="348"/>
      <c r="BD49" s="348"/>
      <c r="BE49" s="348"/>
      <c r="BF49" s="348"/>
      <c r="BG49" s="348"/>
      <c r="BH49" s="348"/>
      <c r="BI49" s="348"/>
      <c r="BJ49" s="348"/>
      <c r="BK49" s="348"/>
      <c r="BL49" s="348"/>
      <c r="BM49" s="348"/>
      <c r="BN49" s="348"/>
      <c r="BO49" s="348"/>
      <c r="BP49" s="348"/>
      <c r="BQ49" s="348"/>
      <c r="BR49" s="348"/>
      <c r="BS49" s="348"/>
      <c r="BT49" s="348"/>
      <c r="BU49" s="348"/>
      <c r="BV49" s="348"/>
      <c r="BW49" s="348"/>
      <c r="BX49" s="348"/>
      <c r="BY49" s="348"/>
      <c r="BZ49" s="348"/>
      <c r="CA49" s="348"/>
    </row>
    <row r="50" spans="1:79" ht="45.75" customHeight="1" x14ac:dyDescent="0.25">
      <c r="A50" s="404"/>
      <c r="B50" s="405"/>
      <c r="C50" s="405"/>
      <c r="D50" s="406"/>
      <c r="E50" s="406"/>
      <c r="F50" s="406"/>
      <c r="G50" s="407"/>
      <c r="H50" s="406"/>
      <c r="I50" s="406"/>
      <c r="J50" s="406"/>
      <c r="K50" s="404"/>
      <c r="L50" s="408"/>
      <c r="M50" s="409"/>
      <c r="N50" s="410"/>
      <c r="O50" s="409">
        <f ca="1">IF(NOT(ISERROR(MATCH(N50,_xlfn.ANCHORARRAY(#REF!),0))),#REF!&amp;"Por favor no seleccionar los criterios de impacto",N50)</f>
        <v>0</v>
      </c>
      <c r="P50" s="408"/>
      <c r="Q50" s="409"/>
      <c r="R50" s="411"/>
      <c r="S50" s="412">
        <v>5</v>
      </c>
      <c r="T50" s="389"/>
      <c r="U50" s="414"/>
      <c r="V50" s="414"/>
      <c r="W50" s="413" t="str">
        <f t="shared" si="31"/>
        <v/>
      </c>
      <c r="X50" s="414"/>
      <c r="Y50" s="414"/>
      <c r="Z50" s="414"/>
      <c r="AA50" s="415" t="str">
        <f>IFERROR(IF(AND(AB49="Probabilidad",AB50="Probabilidad"),(AH49-(+AH49*W50)),IF(AND(AB49="Impacto",AB50="Probabilidad"),(W49-(+W49*W50)),IF(AB50="Impacto",AB49,""))),"")</f>
        <v/>
      </c>
      <c r="AB50" s="392" t="str">
        <f t="shared" si="2"/>
        <v/>
      </c>
      <c r="AC50" s="393"/>
      <c r="AD50" s="393"/>
      <c r="AE50" s="393"/>
      <c r="AF50" s="394"/>
      <c r="AG50" s="417" t="str">
        <f t="shared" si="25"/>
        <v/>
      </c>
      <c r="AH50" s="416" t="str">
        <f t="shared" si="26"/>
        <v/>
      </c>
      <c r="AI50" s="395" t="str">
        <f t="shared" si="5"/>
        <v/>
      </c>
      <c r="AJ50" s="396" t="str">
        <f>IFERROR(IF(AND(AB49="Impacto",AB50="Impacto"),(AJ49-(+AJ49*W50)),IF(AND(AB49="Probabilidad",AB50="Impacto"),(AJ48-(+AJ48*W50)),IF(AB50="Probabilidad",AJ49,""))),"")</f>
        <v/>
      </c>
      <c r="AK50" s="397" t="str">
        <f t="shared" si="32"/>
        <v/>
      </c>
      <c r="AL50" s="398"/>
      <c r="AM50" s="399"/>
      <c r="AN50" s="399"/>
      <c r="AO50" s="400"/>
      <c r="AP50" s="400"/>
      <c r="AQ50" s="400"/>
      <c r="AR50" s="401"/>
      <c r="AS50" s="401"/>
      <c r="AT50" s="399"/>
      <c r="AU50" s="388"/>
      <c r="AV50" s="348"/>
      <c r="AW50" s="348"/>
      <c r="AX50" s="348"/>
      <c r="AY50" s="348"/>
      <c r="AZ50" s="348"/>
      <c r="BA50" s="348"/>
      <c r="BB50" s="348"/>
      <c r="BC50" s="348"/>
      <c r="BD50" s="348"/>
      <c r="BE50" s="348"/>
      <c r="BF50" s="348"/>
      <c r="BG50" s="348"/>
      <c r="BH50" s="348"/>
      <c r="BI50" s="348"/>
      <c r="BJ50" s="348"/>
      <c r="BK50" s="348"/>
      <c r="BL50" s="348"/>
      <c r="BM50" s="348"/>
      <c r="BN50" s="348"/>
      <c r="BO50" s="348"/>
      <c r="BP50" s="348"/>
      <c r="BQ50" s="348"/>
      <c r="BR50" s="348"/>
      <c r="BS50" s="348"/>
      <c r="BT50" s="348"/>
      <c r="BU50" s="348"/>
      <c r="BV50" s="348"/>
      <c r="BW50" s="348"/>
      <c r="BX50" s="348"/>
      <c r="BY50" s="348"/>
      <c r="BZ50" s="348"/>
      <c r="CA50" s="348"/>
    </row>
    <row r="51" spans="1:79" ht="45.75" customHeight="1" x14ac:dyDescent="0.25">
      <c r="A51" s="418"/>
      <c r="B51" s="419"/>
      <c r="C51" s="419"/>
      <c r="D51" s="420"/>
      <c r="E51" s="420"/>
      <c r="F51" s="420"/>
      <c r="G51" s="421"/>
      <c r="H51" s="420"/>
      <c r="I51" s="420"/>
      <c r="J51" s="420"/>
      <c r="K51" s="418"/>
      <c r="L51" s="422"/>
      <c r="M51" s="423"/>
      <c r="N51" s="424"/>
      <c r="O51" s="423">
        <f ca="1">IF(NOT(ISERROR(MATCH(N51,_xlfn.ANCHORARRAY(#REF!),0))),#REF!&amp;"Por favor no seleccionar los criterios de impacto",N51)</f>
        <v>0</v>
      </c>
      <c r="P51" s="422"/>
      <c r="Q51" s="423"/>
      <c r="R51" s="425"/>
      <c r="S51" s="412">
        <v>6</v>
      </c>
      <c r="T51" s="389"/>
      <c r="U51" s="414"/>
      <c r="V51" s="414"/>
      <c r="W51" s="413" t="str">
        <f t="shared" si="31"/>
        <v/>
      </c>
      <c r="X51" s="414"/>
      <c r="Y51" s="414"/>
      <c r="Z51" s="414"/>
      <c r="AA51" s="415" t="str">
        <f>IFERROR(IF(AND(AB50="Probabilidad",AB51="Probabilidad"),(AH50-(+AH50*W51)),IF(AND(AB50="Impacto",AB51="Probabilidad"),(W50-(+W50*W51)),IF(AB51="Impacto",AB50,""))),"")</f>
        <v/>
      </c>
      <c r="AB51" s="392" t="str">
        <f t="shared" si="2"/>
        <v/>
      </c>
      <c r="AC51" s="393"/>
      <c r="AD51" s="393"/>
      <c r="AE51" s="393"/>
      <c r="AF51" s="394"/>
      <c r="AG51" s="417" t="str">
        <f t="shared" si="25"/>
        <v/>
      </c>
      <c r="AH51" s="416" t="str">
        <f t="shared" si="26"/>
        <v/>
      </c>
      <c r="AI51" s="395" t="str">
        <f t="shared" si="5"/>
        <v/>
      </c>
      <c r="AJ51" s="396" t="str">
        <f>IFERROR(IF(AND(AB50="Impacto",AB51="Impacto"),(AJ50-(+AJ50*W51)),IF(AND(AB50="Probabilidad",AB51="Impacto"),(AJ49-(+AJ49*W51)),IF(AB51="Probabilidad",AJ50,""))),"")</f>
        <v/>
      </c>
      <c r="AK51" s="397" t="str">
        <f t="shared" si="32"/>
        <v/>
      </c>
      <c r="AL51" s="398"/>
      <c r="AM51" s="399"/>
      <c r="AN51" s="399"/>
      <c r="AO51" s="400"/>
      <c r="AP51" s="400"/>
      <c r="AQ51" s="400"/>
      <c r="AR51" s="401"/>
      <c r="AS51" s="401"/>
      <c r="AT51" s="399"/>
      <c r="AU51" s="388"/>
      <c r="AV51" s="348"/>
      <c r="AW51" s="348"/>
      <c r="AX51" s="348"/>
      <c r="AY51" s="348"/>
      <c r="AZ51" s="348"/>
      <c r="BA51" s="348"/>
      <c r="BB51" s="348"/>
      <c r="BC51" s="348"/>
      <c r="BD51" s="348"/>
      <c r="BE51" s="348"/>
      <c r="BF51" s="348"/>
      <c r="BG51" s="348"/>
      <c r="BH51" s="348"/>
      <c r="BI51" s="348"/>
      <c r="BJ51" s="348"/>
      <c r="BK51" s="348"/>
      <c r="BL51" s="348"/>
      <c r="BM51" s="348"/>
      <c r="BN51" s="348"/>
      <c r="BO51" s="348"/>
      <c r="BP51" s="348"/>
      <c r="BQ51" s="348"/>
      <c r="BR51" s="348"/>
      <c r="BS51" s="348"/>
      <c r="BT51" s="348"/>
      <c r="BU51" s="348"/>
      <c r="BV51" s="348"/>
      <c r="BW51" s="348"/>
      <c r="BX51" s="348"/>
      <c r="BY51" s="348"/>
      <c r="BZ51" s="348"/>
      <c r="CA51" s="348"/>
    </row>
    <row r="52" spans="1:79" ht="45.75" customHeight="1" x14ac:dyDescent="0.25">
      <c r="A52" s="380">
        <v>9</v>
      </c>
      <c r="B52" s="381" t="s">
        <v>356</v>
      </c>
      <c r="C52" s="381" t="s">
        <v>218</v>
      </c>
      <c r="D52" s="382" t="s">
        <v>128</v>
      </c>
      <c r="E52" s="382" t="s">
        <v>324</v>
      </c>
      <c r="F52" s="382" t="s">
        <v>325</v>
      </c>
      <c r="G52" s="383" t="s">
        <v>357</v>
      </c>
      <c r="H52" s="382" t="s">
        <v>126</v>
      </c>
      <c r="I52" s="382" t="s">
        <v>247</v>
      </c>
      <c r="J52" s="382" t="s">
        <v>358</v>
      </c>
      <c r="K52" s="380" t="s">
        <v>100</v>
      </c>
      <c r="L52" s="384" t="str">
        <f>IF(K52&lt;=0,"",IF(K52&lt;="La actividad que conlleva el riesgo se ejecuta como máximos 2 veces por año","Muy Baja",IF(K52="La actividad que conlleva el riesgo se ejecuta de 3 a 24 veces por año","Baja",IF(K52="La actividad que conlleva el riesgo se ejecuta de 24 a 500 veces por año","Media",IF(K52="La actividad que conlleva el riesgo se ejecuta mínimo 500 veces al año y máximo 5000 veces por año","Alta","Muy Alta")))))</f>
        <v>Muy Baja</v>
      </c>
      <c r="M52" s="385">
        <f>IF(L52="","",IF(L52="Muy Baja",0.2,IF(L52="Baja",0.4,IF(L52="Media",0.6,IF(L52="Alta",0.8,IF(L52="Muy Alta",1,))))))</f>
        <v>0.2</v>
      </c>
      <c r="N52" s="386" t="s">
        <v>149</v>
      </c>
      <c r="O52" s="385" t="str">
        <f ca="1">IF(NOT(ISERROR(MATCH(N52,'Tabla Impacto'!$B$221:$B$223,0))),'Tabla Impacto'!$F$223&amp;"Por favor no seleccionar los criterios de impacto(Afectación Económica o presupuestal y Pérdida Reputacional)",N52)</f>
        <v xml:space="preserve">     El riesgo afecta la imagen de la entidad con algunos usuarios de relevancia frente al logro de los objetivos</v>
      </c>
      <c r="P52" s="384" t="str">
        <f ca="1">IF(OR(O52='Tabla Impacto'!$C$11,O52='Tabla Impacto'!$D$11),"Leve",IF(OR(O52='Tabla Impacto'!$C$12,O52='Tabla Impacto'!$D$12),"Menor",IF(OR(O52='Tabla Impacto'!$C$13,O52='Tabla Impacto'!$D$13),"Moderado",IF(OR(O52='Tabla Impacto'!$C$14,O52='Tabla Impacto'!$D$14),"Mayor",IF(OR(O52='Tabla Impacto'!$C$15,O52='Tabla Impacto'!$D$15),"Catastrófico","")))))</f>
        <v>Moderado</v>
      </c>
      <c r="Q52" s="385">
        <f ca="1">IF(P52="","",IF(P52="Leve",0.2,IF(P52="Menor",0.4,IF(P52="Moderado",0.6,IF(P52="Mayor",0.8,IF(P52="Catastrófico",1,))))))</f>
        <v>0.6</v>
      </c>
      <c r="R52" s="387" t="str">
        <f ca="1">IF(OR(AND(L52="Muy Baja",P52="Leve"),AND(L52="Muy Baja",P52="Menor"),AND(L52="Baja",P52="Leve")),"Bajo",IF(OR(AND(L52="Muy baja",P52="Moderado"),AND(L52="Baja",P52="Menor"),AND(L52="Baja",P52="Moderado"),AND(L52="Media",P52="Leve"),AND(L52="Media",P52="Menor"),AND(L52="Media",P52="Moderado"),AND(L52="Alta",P52="Leve"),AND(L52="Alta",P52="Menor")),"Moderado",IF(OR(AND(L52="Muy Baja",P52="Mayor"),AND(L52="Baja",P52="Mayor"),AND(L52="Media",P52="Mayor"),AND(L52="Alta",P52="Moderado"),AND(L52="Alta",P52="Mayor"),AND(L52="Muy Alta",P52="Leve"),AND(L52="Muy Alta",P52="Menor"),AND(L52="Muy Alta",P52="Moderado"),AND(L52="Muy Alta",P52="Mayor")),"Alto",IF(OR(AND(L52="Muy Baja",P52="Catastrófico"),AND(L52="Baja",P52="Catastrófico"),AND(L52="Media",P52="Catastrófico"),AND(L52="Alta",P52="Catastrófico"),AND(L52="Muy Alta",P52="Catastrófico")),"Extremo",""))))</f>
        <v>Moderado</v>
      </c>
      <c r="S52" s="412">
        <v>1</v>
      </c>
      <c r="T52" s="389" t="s">
        <v>534</v>
      </c>
      <c r="U52" s="390" t="s">
        <v>14</v>
      </c>
      <c r="V52" s="390" t="s">
        <v>9</v>
      </c>
      <c r="W52" s="391" t="str">
        <f>IF(AND(U52="Preventivo",V52="Automático"),"50%",IF(AND(U52="Preventivo",V52="Manual"),"40%",IF(AND(U52="Detectivo",V52="Automático"),"40%",IF(AND(U52="Detectivo",V52="Manual"),"30%",IF(AND(U52="Correctivo",V52="Automático"),"35%",IF(AND(U52="Correctivo",V52="Manual"),"25%",""))))))</f>
        <v>40%</v>
      </c>
      <c r="X52" s="390" t="s">
        <v>19</v>
      </c>
      <c r="Y52" s="390" t="s">
        <v>22</v>
      </c>
      <c r="Z52" s="390" t="s">
        <v>117</v>
      </c>
      <c r="AA52" s="392">
        <f>IFERROR(IF(AB52="Probabilidad",(M52-(+M52*W52)),IF(AB52="Impacto",M52,"")),"")</f>
        <v>0.12</v>
      </c>
      <c r="AB52" s="392" t="str">
        <f t="shared" si="2"/>
        <v>Probabilidad</v>
      </c>
      <c r="AC52" s="393" t="s">
        <v>535</v>
      </c>
      <c r="AD52" s="393" t="s">
        <v>319</v>
      </c>
      <c r="AE52" s="393" t="s">
        <v>286</v>
      </c>
      <c r="AF52" s="394" t="s">
        <v>248</v>
      </c>
      <c r="AG52" s="417" t="str">
        <f t="shared" si="25"/>
        <v>Muy Baja</v>
      </c>
      <c r="AH52" s="416">
        <f t="shared" si="26"/>
        <v>0.12</v>
      </c>
      <c r="AI52" s="395" t="str">
        <f t="shared" ca="1" si="5"/>
        <v>Moderado</v>
      </c>
      <c r="AJ52" s="396">
        <f ca="1">IFERROR(IF(AB52="Impacto",(Q52-(+Q52*W52)),IF(AB52="Probabilidad",Q52,"")),"")</f>
        <v>0.6</v>
      </c>
      <c r="AK52" s="397" t="str">
        <f ca="1">IFERROR(IF(OR(AND(AG52="Muy Baja",AI52="Leve"),AND(AG52="Muy Baja",AI52="Menor"),AND(AG52="Baja",AI52="Leve")),"Bajo",IF(OR(AND(AG52="Muy baja",AI52="Moderado"),AND(AG52="Baja",AI52="Menor"),AND(AG52="Baja",AI52="Moderado"),AND(AG52="Media",AI52="Leve"),AND(AG52="Media",AI52="Menor"),AND(AG52="Media",AI52="Moderado"),AND(AG52="Alta",AI52="Leve"),AND(AG52="Alta",AI52="Menor")),"Moderado",IF(OR(AND(AG52="Muy Baja",AI52="Mayor"),AND(AG52="Baja",AI52="Mayor"),AND(AG52="Media",AI52="Mayor"),AND(AG52="Alta",AI52="Moderado"),AND(AG52="Alta",AI52="Mayor"),AND(AG52="Muy Alta",AI52="Leve"),AND(AG52="Muy Alta",AI52="Menor"),AND(AG52="Muy Alta",AI52="Moderado"),AND(AG52="Muy Alta",AI52="Mayor")),"Alto",IF(OR(AND(AG52="Muy Baja",AI52="Catastrófico"),AND(AG52="Baja",AI52="Catastrófico"),AND(AG52="Media",AI52="Catastrófico"),AND(AG52="Alta",AI52="Catastrófico"),AND(AG52="Muy Alta",AI52="Catastrófico")),"Extremo","")))),"")</f>
        <v>Moderado</v>
      </c>
      <c r="AL52" s="398" t="s">
        <v>31</v>
      </c>
      <c r="AM52" s="399"/>
      <c r="AN52" s="399"/>
      <c r="AO52" s="400"/>
      <c r="AP52" s="400"/>
      <c r="AQ52" s="400"/>
      <c r="AR52" s="401"/>
      <c r="AS52" s="401"/>
      <c r="AT52" s="399"/>
      <c r="AU52" s="388"/>
      <c r="AV52" s="348"/>
      <c r="AW52" s="348"/>
      <c r="AX52" s="348"/>
      <c r="AY52" s="348"/>
      <c r="AZ52" s="348"/>
      <c r="BA52" s="348"/>
      <c r="BB52" s="348"/>
      <c r="BC52" s="348"/>
      <c r="BD52" s="348"/>
      <c r="BE52" s="348"/>
      <c r="BF52" s="348"/>
      <c r="BG52" s="348"/>
      <c r="BH52" s="348"/>
      <c r="BI52" s="348"/>
      <c r="BJ52" s="348"/>
      <c r="BK52" s="348"/>
      <c r="BL52" s="348"/>
      <c r="BM52" s="348"/>
      <c r="BN52" s="348"/>
      <c r="BO52" s="348"/>
      <c r="BP52" s="348"/>
      <c r="BQ52" s="348"/>
      <c r="BR52" s="348"/>
      <c r="BS52" s="348"/>
      <c r="BT52" s="348"/>
      <c r="BU52" s="348"/>
      <c r="BV52" s="348"/>
      <c r="BW52" s="348"/>
      <c r="BX52" s="348"/>
      <c r="BY52" s="348"/>
      <c r="BZ52" s="348"/>
      <c r="CA52" s="348"/>
    </row>
    <row r="53" spans="1:79" ht="45.75" customHeight="1" x14ac:dyDescent="0.25">
      <c r="A53" s="404"/>
      <c r="B53" s="405"/>
      <c r="C53" s="405"/>
      <c r="D53" s="406"/>
      <c r="E53" s="406"/>
      <c r="F53" s="406"/>
      <c r="G53" s="407"/>
      <c r="H53" s="406"/>
      <c r="I53" s="406"/>
      <c r="J53" s="406"/>
      <c r="K53" s="404"/>
      <c r="L53" s="408"/>
      <c r="M53" s="409"/>
      <c r="N53" s="410"/>
      <c r="O53" s="409">
        <f ca="1">IF(NOT(ISERROR(MATCH(N53,_xlfn.ANCHORARRAY(#REF!),0))),#REF!&amp;"Por favor no seleccionar los criterios de impacto",N53)</f>
        <v>0</v>
      </c>
      <c r="P53" s="408"/>
      <c r="Q53" s="409"/>
      <c r="R53" s="411"/>
      <c r="S53" s="412">
        <v>2</v>
      </c>
      <c r="T53" s="389" t="s">
        <v>536</v>
      </c>
      <c r="U53" s="414" t="s">
        <v>14</v>
      </c>
      <c r="V53" s="414" t="s">
        <v>9</v>
      </c>
      <c r="W53" s="391" t="str">
        <f t="shared" ref="W53:W57" si="33">IF(AND(U53="Preventivo",V53="Automático"),"50%",IF(AND(U53="Preventivo",V53="Manual"),"40%",IF(AND(U53="Detectivo",V53="Automático"),"40%",IF(AND(U53="Detectivo",V53="Manual"),"30%",IF(AND(U53="Correctivo",V53="Automático"),"35%",IF(AND(U53="Correctivo",V53="Manual"),"25%",""))))))</f>
        <v>40%</v>
      </c>
      <c r="X53" s="390" t="s">
        <v>19</v>
      </c>
      <c r="Y53" s="390" t="s">
        <v>22</v>
      </c>
      <c r="Z53" s="390" t="s">
        <v>117</v>
      </c>
      <c r="AA53" s="415">
        <f>IFERROR(IF(AND(AB52="Probabilidad",AB53="Probabilidad"),(AH52-(+AH52*W53)),IF(AB53="Probabilidad",(M52-(+M52*W53)),IF(AB53="Impacto",AH52,""))),"")</f>
        <v>7.1999999999999995E-2</v>
      </c>
      <c r="AB53" s="392" t="str">
        <f t="shared" si="2"/>
        <v>Probabilidad</v>
      </c>
      <c r="AC53" s="393" t="s">
        <v>537</v>
      </c>
      <c r="AD53" s="393" t="s">
        <v>319</v>
      </c>
      <c r="AE53" s="393" t="s">
        <v>286</v>
      </c>
      <c r="AF53" s="394" t="s">
        <v>248</v>
      </c>
      <c r="AG53" s="417" t="str">
        <f t="shared" si="25"/>
        <v>Muy Baja</v>
      </c>
      <c r="AH53" s="416">
        <f t="shared" si="26"/>
        <v>7.1999999999999995E-2</v>
      </c>
      <c r="AI53" s="395" t="str">
        <f t="shared" ca="1" si="5"/>
        <v>Moderado</v>
      </c>
      <c r="AJ53" s="396">
        <f ca="1">IFERROR(IF(AND(AB52="Impacto",AB53="Impacto"),(AJ52-(+AJ52*W53)),IF(AB53="Impacto",($Q$10-(+$Q$10*AB53)),IF(AB53="Probabilidad",AJ52,""))),"")</f>
        <v>0.6</v>
      </c>
      <c r="AK53" s="397" t="str">
        <f ca="1">IFERROR(IF(OR(AND(AG53="Muy Baja",AI53="Leve"),AND(AG53="Muy Baja",AI53="Menor"),AND(AG53="Baja",AI53="Leve")),"Bajo",IF(OR(AND(AG53="Muy baja",AI53="Moderado"),AND(AG53="Baja",AI53="Menor"),AND(AG53="Baja",AI53="Moderado"),AND(AG53="Media",AI53="Leve"),AND(AG53="Media",AI53="Menor"),AND(AG53="Media",AI53="Moderado"),AND(AG53="Alta",AI53="Leve"),AND(AG53="Alta",AI53="Menor")),"Moderado",IF(OR(AND(AG53="Muy Baja",AI53="Mayor"),AND(AG53="Baja",AI53="Mayor"),AND(AG53="Media",AI53="Mayor"),AND(AG53="Alta",AI53="Moderado"),AND(AG53="Alta",AI53="Mayor"),AND(AG53="Muy Alta",AI53="Leve"),AND(AG53="Muy Alta",AI53="Menor"),AND(AG53="Muy Alta",AI53="Moderado"),AND(AG53="Muy Alta",AI53="Mayor")),"Alto",IF(OR(AND(AG53="Muy Baja",AI53="Catastrófico"),AND(AG53="Baja",AI53="Catastrófico"),AND(AG53="Media",AI53="Catastrófico"),AND(AG53="Alta",AI53="Catastrófico"),AND(AG53="Muy Alta",AI53="Catastrófico")),"Extremo","")))),"")</f>
        <v>Moderado</v>
      </c>
      <c r="AL53" s="398" t="s">
        <v>31</v>
      </c>
      <c r="AM53" s="399"/>
      <c r="AN53" s="399"/>
      <c r="AO53" s="400"/>
      <c r="AP53" s="400"/>
      <c r="AQ53" s="400"/>
      <c r="AR53" s="401"/>
      <c r="AS53" s="401"/>
      <c r="AT53" s="399"/>
      <c r="AU53" s="388"/>
      <c r="AV53" s="348"/>
      <c r="AW53" s="348"/>
      <c r="AX53" s="348"/>
      <c r="AY53" s="348"/>
      <c r="AZ53" s="348"/>
      <c r="BA53" s="348"/>
      <c r="BB53" s="348"/>
      <c r="BC53" s="348"/>
      <c r="BD53" s="348"/>
      <c r="BE53" s="348"/>
      <c r="BF53" s="348"/>
      <c r="BG53" s="348"/>
      <c r="BH53" s="348"/>
      <c r="BI53" s="348"/>
      <c r="BJ53" s="348"/>
      <c r="BK53" s="348"/>
      <c r="BL53" s="348"/>
      <c r="BM53" s="348"/>
      <c r="BN53" s="348"/>
      <c r="BO53" s="348"/>
      <c r="BP53" s="348"/>
      <c r="BQ53" s="348"/>
      <c r="BR53" s="348"/>
      <c r="BS53" s="348"/>
      <c r="BT53" s="348"/>
      <c r="BU53" s="348"/>
      <c r="BV53" s="348"/>
      <c r="BW53" s="348"/>
      <c r="BX53" s="348"/>
      <c r="BY53" s="348"/>
      <c r="BZ53" s="348"/>
      <c r="CA53" s="348"/>
    </row>
    <row r="54" spans="1:79" ht="45.75" customHeight="1" x14ac:dyDescent="0.25">
      <c r="A54" s="404"/>
      <c r="B54" s="405"/>
      <c r="C54" s="405"/>
      <c r="D54" s="406"/>
      <c r="E54" s="406"/>
      <c r="F54" s="406"/>
      <c r="G54" s="407"/>
      <c r="H54" s="406"/>
      <c r="I54" s="406"/>
      <c r="J54" s="406"/>
      <c r="K54" s="404"/>
      <c r="L54" s="408"/>
      <c r="M54" s="409"/>
      <c r="N54" s="410"/>
      <c r="O54" s="409">
        <f ca="1">IF(NOT(ISERROR(MATCH(N54,_xlfn.ANCHORARRAY(#REF!),0))),#REF!&amp;"Por favor no seleccionar los criterios de impacto",N54)</f>
        <v>0</v>
      </c>
      <c r="P54" s="408"/>
      <c r="Q54" s="409"/>
      <c r="R54" s="411"/>
      <c r="S54" s="412">
        <v>3</v>
      </c>
      <c r="T54" s="389" t="s">
        <v>307</v>
      </c>
      <c r="U54" s="414" t="s">
        <v>14</v>
      </c>
      <c r="V54" s="414" t="s">
        <v>10</v>
      </c>
      <c r="W54" s="391" t="str">
        <f t="shared" si="33"/>
        <v>50%</v>
      </c>
      <c r="X54" s="414" t="s">
        <v>19</v>
      </c>
      <c r="Y54" s="414" t="s">
        <v>22</v>
      </c>
      <c r="Z54" s="414" t="s">
        <v>117</v>
      </c>
      <c r="AA54" s="415">
        <f>IFERROR(IF(AND(AB53="Probabilidad",AB54="Probabilidad"),(AH53-(+AH53*W54)),IF(AND(AB53="Impacto",AB54="Probabilidad"),(W53-(+W53*W54)),IF(AB54="Impacto",AB53,""))),"")</f>
        <v>3.5999999999999997E-2</v>
      </c>
      <c r="AB54" s="392" t="str">
        <f t="shared" si="2"/>
        <v>Probabilidad</v>
      </c>
      <c r="AC54" s="393" t="s">
        <v>308</v>
      </c>
      <c r="AD54" s="393" t="s">
        <v>300</v>
      </c>
      <c r="AE54" s="393" t="s">
        <v>286</v>
      </c>
      <c r="AF54" s="394" t="s">
        <v>248</v>
      </c>
      <c r="AG54" s="417" t="str">
        <f t="shared" si="25"/>
        <v>Muy Baja</v>
      </c>
      <c r="AH54" s="416">
        <f t="shared" si="26"/>
        <v>3.5999999999999997E-2</v>
      </c>
      <c r="AI54" s="395" t="str">
        <f t="shared" ca="1" si="5"/>
        <v>Moderado</v>
      </c>
      <c r="AJ54" s="396">
        <f ca="1">IFERROR(IF(AND(AB53="Impacto",AB54="Impacto"),(AJ53-(+AJ53*W54)),IF(AND(AB53="Probabilidad",AB54="Impacto"),(AJ52-(+AJ52*W54)),IF(AB54="Probabilidad",AJ53,""))),"")</f>
        <v>0.6</v>
      </c>
      <c r="AK54" s="397" t="str">
        <f ca="1">IFERROR(IF(OR(AND(AG54="Muy Baja",AI54="Leve"),AND(AG54="Muy Baja",AI54="Menor"),AND(AG54="Baja",AI54="Leve")),"Bajo",IF(OR(AND(AG54="Muy baja",AI54="Moderado"),AND(AG54="Baja",AI54="Menor"),AND(AG54="Baja",AI54="Moderado"),AND(AG54="Media",AI54="Leve"),AND(AG54="Media",AI54="Menor"),AND(AG54="Media",AI54="Moderado"),AND(AG54="Alta",AI54="Leve"),AND(AG54="Alta",AI54="Menor")),"Moderado",IF(OR(AND(AG54="Muy Baja",AI54="Mayor"),AND(AG54="Baja",AI54="Mayor"),AND(AG54="Media",AI54="Mayor"),AND(AG54="Alta",AI54="Moderado"),AND(AG54="Alta",AI54="Mayor"),AND(AG54="Muy Alta",AI54="Leve"),AND(AG54="Muy Alta",AI54="Menor"),AND(AG54="Muy Alta",AI54="Moderado"),AND(AG54="Muy Alta",AI54="Mayor")),"Alto",IF(OR(AND(AG54="Muy Baja",AI54="Catastrófico"),AND(AG54="Baja",AI54="Catastrófico"),AND(AG54="Media",AI54="Catastrófico"),AND(AG54="Alta",AI54="Catastrófico"),AND(AG54="Muy Alta",AI54="Catastrófico")),"Extremo","")))),"")</f>
        <v>Moderado</v>
      </c>
      <c r="AL54" s="398" t="s">
        <v>132</v>
      </c>
      <c r="AM54" s="399" t="s">
        <v>310</v>
      </c>
      <c r="AN54" s="399" t="s">
        <v>300</v>
      </c>
      <c r="AO54" s="400" t="s">
        <v>530</v>
      </c>
      <c r="AP54" s="400" t="s">
        <v>458</v>
      </c>
      <c r="AQ54" s="400" t="s">
        <v>459</v>
      </c>
      <c r="AR54" s="401">
        <v>44866</v>
      </c>
      <c r="AS54" s="401" t="s">
        <v>311</v>
      </c>
      <c r="AT54" s="399" t="s">
        <v>300</v>
      </c>
      <c r="AU54" s="388" t="s">
        <v>41</v>
      </c>
      <c r="AV54" s="348"/>
      <c r="AW54" s="348"/>
      <c r="AX54" s="348"/>
      <c r="AY54" s="348"/>
      <c r="AZ54" s="348"/>
      <c r="BA54" s="348"/>
      <c r="BB54" s="348"/>
      <c r="BC54" s="348"/>
      <c r="BD54" s="348"/>
      <c r="BE54" s="348"/>
      <c r="BF54" s="348"/>
      <c r="BG54" s="348"/>
      <c r="BH54" s="348"/>
      <c r="BI54" s="348"/>
      <c r="BJ54" s="348"/>
      <c r="BK54" s="348"/>
      <c r="BL54" s="348"/>
      <c r="BM54" s="348"/>
      <c r="BN54" s="348"/>
      <c r="BO54" s="348"/>
      <c r="BP54" s="348"/>
      <c r="BQ54" s="348"/>
      <c r="BR54" s="348"/>
      <c r="BS54" s="348"/>
      <c r="BT54" s="348"/>
      <c r="BU54" s="348"/>
      <c r="BV54" s="348"/>
      <c r="BW54" s="348"/>
      <c r="BX54" s="348"/>
      <c r="BY54" s="348"/>
      <c r="BZ54" s="348"/>
      <c r="CA54" s="348"/>
    </row>
    <row r="55" spans="1:79" ht="45.75" customHeight="1" x14ac:dyDescent="0.25">
      <c r="A55" s="404"/>
      <c r="B55" s="405"/>
      <c r="C55" s="405"/>
      <c r="D55" s="406"/>
      <c r="E55" s="406"/>
      <c r="F55" s="406"/>
      <c r="G55" s="407"/>
      <c r="H55" s="406"/>
      <c r="I55" s="406"/>
      <c r="J55" s="406"/>
      <c r="K55" s="404"/>
      <c r="L55" s="408"/>
      <c r="M55" s="409"/>
      <c r="N55" s="410"/>
      <c r="O55" s="409">
        <f ca="1">IF(NOT(ISERROR(MATCH(N55,_xlfn.ANCHORARRAY(#REF!),0))),M58&amp;"Por favor no seleccionar los criterios de impacto",N55)</f>
        <v>0</v>
      </c>
      <c r="P55" s="408"/>
      <c r="Q55" s="409"/>
      <c r="R55" s="411"/>
      <c r="S55" s="412">
        <v>4</v>
      </c>
      <c r="T55" s="389" t="s">
        <v>309</v>
      </c>
      <c r="U55" s="414" t="s">
        <v>14</v>
      </c>
      <c r="V55" s="414" t="s">
        <v>10</v>
      </c>
      <c r="W55" s="391" t="str">
        <f t="shared" si="33"/>
        <v>50%</v>
      </c>
      <c r="X55" s="414" t="s">
        <v>19</v>
      </c>
      <c r="Y55" s="414" t="s">
        <v>22</v>
      </c>
      <c r="Z55" s="414" t="s">
        <v>117</v>
      </c>
      <c r="AA55" s="415">
        <f>IFERROR(IF(AND(AB54="Probabilidad",AB55="Probabilidad"),(AH54-(+AH54*W55)),IF(AND(AB54="Impacto",AB55="Probabilidad"),(W54-(+W54*W55)),IF(AB55="Impacto",AB54,""))),"")</f>
        <v>1.7999999999999999E-2</v>
      </c>
      <c r="AB55" s="392" t="str">
        <f t="shared" si="2"/>
        <v>Probabilidad</v>
      </c>
      <c r="AC55" s="393" t="s">
        <v>308</v>
      </c>
      <c r="AD55" s="393" t="s">
        <v>300</v>
      </c>
      <c r="AE55" s="393" t="s">
        <v>286</v>
      </c>
      <c r="AF55" s="394" t="s">
        <v>248</v>
      </c>
      <c r="AG55" s="417" t="str">
        <f t="shared" si="25"/>
        <v>Muy Baja</v>
      </c>
      <c r="AH55" s="416">
        <f t="shared" si="26"/>
        <v>1.7999999999999999E-2</v>
      </c>
      <c r="AI55" s="395" t="str">
        <f t="shared" ca="1" si="5"/>
        <v>Moderado</v>
      </c>
      <c r="AJ55" s="396">
        <f ca="1">IFERROR(IF(AND(AB54="Impacto",AB55="Impacto"),(AJ54-(+AJ54*W55)),IF(AND(AB54="Probabilidad",AB55="Impacto"),(AJ53-(+AJ53*W55)),IF(AB55="Probabilidad",AJ54,""))),"")</f>
        <v>0.6</v>
      </c>
      <c r="AK55" s="397" t="str">
        <f t="shared" ref="AK55:AK57" ca="1" si="34">IFERROR(IF(OR(AND(AG55="Muy Baja",AI55="Leve"),AND(AG55="Muy Baja",AI55="Menor"),AND(AG55="Baja",AI55="Leve")),"Bajo",IF(OR(AND(AG55="Muy baja",AI55="Moderado"),AND(AG55="Baja",AI55="Menor"),AND(AG55="Baja",AI55="Moderado"),AND(AG55="Media",AI55="Leve"),AND(AG55="Media",AI55="Menor"),AND(AG55="Media",AI55="Moderado"),AND(AG55="Alta",AI55="Leve"),AND(AG55="Alta",AI55="Menor")),"Moderado",IF(OR(AND(AG55="Muy Baja",AI55="Mayor"),AND(AG55="Baja",AI55="Mayor"),AND(AG55="Media",AI55="Mayor"),AND(AG55="Alta",AI55="Moderado"),AND(AG55="Alta",AI55="Mayor"),AND(AG55="Muy Alta",AI55="Leve"),AND(AG55="Muy Alta",AI55="Menor"),AND(AG55="Muy Alta",AI55="Moderado"),AND(AG55="Muy Alta",AI55="Mayor")),"Alto",IF(OR(AND(AG55="Muy Baja",AI55="Catastrófico"),AND(AG55="Baja",AI55="Catastrófico"),AND(AG55="Media",AI55="Catastrófico"),AND(AG55="Alta",AI55="Catastrófico"),AND(AG55="Muy Alta",AI55="Catastrófico")),"Extremo","")))),"")</f>
        <v>Moderado</v>
      </c>
      <c r="AL55" s="398" t="s">
        <v>132</v>
      </c>
      <c r="AM55" s="399" t="s">
        <v>310</v>
      </c>
      <c r="AN55" s="399" t="s">
        <v>300</v>
      </c>
      <c r="AO55" s="400" t="s">
        <v>530</v>
      </c>
      <c r="AP55" s="400" t="s">
        <v>458</v>
      </c>
      <c r="AQ55" s="400" t="s">
        <v>459</v>
      </c>
      <c r="AR55" s="401">
        <v>44866</v>
      </c>
      <c r="AS55" s="401" t="s">
        <v>311</v>
      </c>
      <c r="AT55" s="399" t="s">
        <v>300</v>
      </c>
      <c r="AU55" s="388" t="s">
        <v>41</v>
      </c>
      <c r="AV55" s="348"/>
      <c r="AW55" s="348"/>
      <c r="AX55" s="348"/>
      <c r="AY55" s="348"/>
      <c r="AZ55" s="348"/>
      <c r="BA55" s="348"/>
      <c r="BB55" s="348"/>
      <c r="BC55" s="348"/>
      <c r="BD55" s="348"/>
      <c r="BE55" s="348"/>
      <c r="BF55" s="348"/>
      <c r="BG55" s="348"/>
      <c r="BH55" s="348"/>
      <c r="BI55" s="348"/>
      <c r="BJ55" s="348"/>
      <c r="BK55" s="348"/>
      <c r="BL55" s="348"/>
      <c r="BM55" s="348"/>
      <c r="BN55" s="348"/>
      <c r="BO55" s="348"/>
      <c r="BP55" s="348"/>
      <c r="BQ55" s="348"/>
      <c r="BR55" s="348"/>
      <c r="BS55" s="348"/>
      <c r="BT55" s="348"/>
      <c r="BU55" s="348"/>
      <c r="BV55" s="348"/>
      <c r="BW55" s="348"/>
      <c r="BX55" s="348"/>
      <c r="BY55" s="348"/>
      <c r="BZ55" s="348"/>
      <c r="CA55" s="348"/>
    </row>
    <row r="56" spans="1:79" ht="45.75" customHeight="1" x14ac:dyDescent="0.25">
      <c r="A56" s="404"/>
      <c r="B56" s="405"/>
      <c r="C56" s="405"/>
      <c r="D56" s="406"/>
      <c r="E56" s="406"/>
      <c r="F56" s="406"/>
      <c r="G56" s="407"/>
      <c r="H56" s="406"/>
      <c r="I56" s="406"/>
      <c r="J56" s="406"/>
      <c r="K56" s="404"/>
      <c r="L56" s="408"/>
      <c r="M56" s="409"/>
      <c r="N56" s="410"/>
      <c r="O56" s="409">
        <f ca="1">IF(NOT(ISERROR(MATCH(N56,_xlfn.ANCHORARRAY(#REF!),0))),M59&amp;"Por favor no seleccionar los criterios de impacto",N56)</f>
        <v>0</v>
      </c>
      <c r="P56" s="408"/>
      <c r="Q56" s="409"/>
      <c r="R56" s="411"/>
      <c r="S56" s="412">
        <v>5</v>
      </c>
      <c r="T56" s="389"/>
      <c r="U56" s="414"/>
      <c r="V56" s="414"/>
      <c r="W56" s="413" t="str">
        <f t="shared" si="33"/>
        <v/>
      </c>
      <c r="X56" s="414"/>
      <c r="Y56" s="414"/>
      <c r="Z56" s="414"/>
      <c r="AA56" s="415" t="str">
        <f>IFERROR(IF(AND(AB55="Probabilidad",AB56="Probabilidad"),(AH55-(+AH55*W56)),IF(AND(AB55="Impacto",AB56="Probabilidad"),(W55-(+W55*W56)),IF(AB56="Impacto",AB55,""))),"")</f>
        <v/>
      </c>
      <c r="AB56" s="392" t="str">
        <f t="shared" si="2"/>
        <v/>
      </c>
      <c r="AC56" s="393"/>
      <c r="AD56" s="393"/>
      <c r="AE56" s="393"/>
      <c r="AF56" s="394"/>
      <c r="AG56" s="417" t="str">
        <f t="shared" si="25"/>
        <v/>
      </c>
      <c r="AH56" s="416" t="str">
        <f t="shared" si="26"/>
        <v/>
      </c>
      <c r="AI56" s="395" t="str">
        <f t="shared" si="5"/>
        <v/>
      </c>
      <c r="AJ56" s="396" t="str">
        <f>IFERROR(IF(AND(AB55="Impacto",AB56="Impacto"),(AJ55-(+AJ55*W56)),IF(AND(AB55="Probabilidad",AB56="Impacto"),(AJ54-(+AJ54*W56)),IF(AB56="Probabilidad",AJ55,""))),"")</f>
        <v/>
      </c>
      <c r="AK56" s="397" t="str">
        <f t="shared" si="34"/>
        <v/>
      </c>
      <c r="AL56" s="398"/>
      <c r="AM56" s="399"/>
      <c r="AN56" s="399"/>
      <c r="AO56" s="400"/>
      <c r="AP56" s="400"/>
      <c r="AQ56" s="400"/>
      <c r="AR56" s="401"/>
      <c r="AS56" s="401"/>
      <c r="AT56" s="399"/>
      <c r="AU56" s="388"/>
      <c r="AV56" s="348"/>
      <c r="AW56" s="348"/>
      <c r="AX56" s="348"/>
      <c r="AY56" s="348"/>
      <c r="AZ56" s="348"/>
      <c r="BA56" s="348"/>
      <c r="BB56" s="348"/>
      <c r="BC56" s="348"/>
      <c r="BD56" s="348"/>
      <c r="BE56" s="348"/>
      <c r="BF56" s="348"/>
      <c r="BG56" s="348"/>
      <c r="BH56" s="348"/>
      <c r="BI56" s="348"/>
      <c r="BJ56" s="348"/>
      <c r="BK56" s="348"/>
      <c r="BL56" s="348"/>
      <c r="BM56" s="348"/>
      <c r="BN56" s="348"/>
      <c r="BO56" s="348"/>
      <c r="BP56" s="348"/>
      <c r="BQ56" s="348"/>
      <c r="BR56" s="348"/>
      <c r="BS56" s="348"/>
      <c r="BT56" s="348"/>
      <c r="BU56" s="348"/>
      <c r="BV56" s="348"/>
      <c r="BW56" s="348"/>
      <c r="BX56" s="348"/>
      <c r="BY56" s="348"/>
      <c r="BZ56" s="348"/>
      <c r="CA56" s="348"/>
    </row>
    <row r="57" spans="1:79" ht="45.75" customHeight="1" x14ac:dyDescent="0.25">
      <c r="A57" s="418"/>
      <c r="B57" s="419"/>
      <c r="C57" s="419"/>
      <c r="D57" s="420"/>
      <c r="E57" s="420"/>
      <c r="F57" s="420"/>
      <c r="G57" s="421"/>
      <c r="H57" s="420"/>
      <c r="I57" s="420"/>
      <c r="J57" s="420"/>
      <c r="K57" s="418"/>
      <c r="L57" s="422"/>
      <c r="M57" s="423"/>
      <c r="N57" s="424"/>
      <c r="O57" s="423">
        <f ca="1">IF(NOT(ISERROR(MATCH(N57,_xlfn.ANCHORARRAY(G58),0))),M60&amp;"Por favor no seleccionar los criterios de impacto",N57)</f>
        <v>0</v>
      </c>
      <c r="P57" s="422"/>
      <c r="Q57" s="423"/>
      <c r="R57" s="425"/>
      <c r="S57" s="412">
        <v>6</v>
      </c>
      <c r="T57" s="389"/>
      <c r="U57" s="414"/>
      <c r="V57" s="414"/>
      <c r="W57" s="413" t="str">
        <f t="shared" si="33"/>
        <v/>
      </c>
      <c r="X57" s="414"/>
      <c r="Y57" s="414"/>
      <c r="Z57" s="414"/>
      <c r="AA57" s="415" t="str">
        <f>IFERROR(IF(AND(AB56="Probabilidad",AB57="Probabilidad"),(AH56-(+AH56*W57)),IF(AND(AB56="Impacto",AB57="Probabilidad"),(W56-(+W56*W57)),IF(AB57="Impacto",AB56,""))),"")</f>
        <v/>
      </c>
      <c r="AB57" s="392" t="str">
        <f t="shared" si="2"/>
        <v/>
      </c>
      <c r="AC57" s="393"/>
      <c r="AD57" s="393"/>
      <c r="AE57" s="393"/>
      <c r="AF57" s="394"/>
      <c r="AG57" s="417" t="str">
        <f t="shared" si="25"/>
        <v/>
      </c>
      <c r="AH57" s="416" t="str">
        <f t="shared" si="26"/>
        <v/>
      </c>
      <c r="AI57" s="395" t="str">
        <f t="shared" si="5"/>
        <v/>
      </c>
      <c r="AJ57" s="396" t="str">
        <f>IFERROR(IF(AND(AB56="Impacto",AB57="Impacto"),(AJ56-(+AJ56*W57)),IF(AND(AB56="Probabilidad",AB57="Impacto"),(AJ55-(+AJ55*W57)),IF(AB57="Probabilidad",AJ56,""))),"")</f>
        <v/>
      </c>
      <c r="AK57" s="397" t="str">
        <f t="shared" si="34"/>
        <v/>
      </c>
      <c r="AL57" s="398"/>
      <c r="AM57" s="399"/>
      <c r="AN57" s="399"/>
      <c r="AO57" s="400"/>
      <c r="AP57" s="400"/>
      <c r="AQ57" s="400"/>
      <c r="AR57" s="401"/>
      <c r="AS57" s="401"/>
      <c r="AT57" s="399"/>
      <c r="AU57" s="388"/>
      <c r="AV57" s="348"/>
      <c r="AW57" s="348"/>
      <c r="AX57" s="348"/>
      <c r="AY57" s="348"/>
      <c r="AZ57" s="348"/>
      <c r="BA57" s="348"/>
      <c r="BB57" s="348"/>
      <c r="BC57" s="348"/>
      <c r="BD57" s="348"/>
      <c r="BE57" s="348"/>
      <c r="BF57" s="348"/>
      <c r="BG57" s="348"/>
      <c r="BH57" s="348"/>
      <c r="BI57" s="348"/>
      <c r="BJ57" s="348"/>
      <c r="BK57" s="348"/>
      <c r="BL57" s="348"/>
      <c r="BM57" s="348"/>
      <c r="BN57" s="348"/>
      <c r="BO57" s="348"/>
      <c r="BP57" s="348"/>
      <c r="BQ57" s="348"/>
      <c r="BR57" s="348"/>
      <c r="BS57" s="348"/>
      <c r="BT57" s="348"/>
      <c r="BU57" s="348"/>
      <c r="BV57" s="348"/>
      <c r="BW57" s="348"/>
      <c r="BX57" s="348"/>
      <c r="BY57" s="348"/>
      <c r="BZ57" s="348"/>
      <c r="CA57" s="348"/>
    </row>
    <row r="58" spans="1:79" ht="78" x14ac:dyDescent="0.25">
      <c r="A58" s="380">
        <v>10</v>
      </c>
      <c r="B58" s="381" t="s">
        <v>327</v>
      </c>
      <c r="C58" s="381" t="s">
        <v>218</v>
      </c>
      <c r="D58" s="382" t="s">
        <v>130</v>
      </c>
      <c r="E58" s="382" t="s">
        <v>330</v>
      </c>
      <c r="F58" s="382" t="s">
        <v>359</v>
      </c>
      <c r="G58" s="383" t="s">
        <v>360</v>
      </c>
      <c r="H58" s="382" t="s">
        <v>124</v>
      </c>
      <c r="I58" s="382" t="s">
        <v>236</v>
      </c>
      <c r="J58" s="382" t="s">
        <v>331</v>
      </c>
      <c r="K58" s="380" t="s">
        <v>102</v>
      </c>
      <c r="L58" s="384" t="str">
        <f>IF(K58&lt;=0,"",IF(K58&lt;="La actividad que conlleva el riesgo se ejecuta como máximos 2 veces por año","Muy Baja",IF(K58="La actividad que conlleva el riesgo se ejecuta de 3 a 24 veces por año","Baja",IF(K58="La actividad que conlleva el riesgo se ejecuta de 24 a 500 veces por año","Media",IF(K58="La actividad que conlleva el riesgo se ejecuta mínimo 500 veces al año y máximo 5000 veces por año","Alta","Muy Alta")))))</f>
        <v>Media</v>
      </c>
      <c r="M58" s="385">
        <f>IF(L58="","",IF(L58="Muy Baja",0.2,IF(L58="Baja",0.4,IF(L58="Media",0.6,IF(L58="Alta",0.8,IF(L58="Muy Alta",1,))))))</f>
        <v>0.6</v>
      </c>
      <c r="N58" s="386" t="s">
        <v>148</v>
      </c>
      <c r="O58" s="385" t="str">
        <f ca="1">IF(NOT(ISERROR(MATCH(N58,'Tabla Impacto'!$B$221:$B$223,0))),'Tabla Impacto'!$F$223&amp;"Por favor no seleccionar los criterios de impacto(Afectación Económica o presupuestal y Pérdida Reputacional)",N58)</f>
        <v xml:space="preserve">     El riesgo afecta la imagen de la entidad internamente, de conocimiento general, nivel interno, de junta dircetiva y accionistas y/o de provedores</v>
      </c>
      <c r="P58" s="384" t="str">
        <f ca="1">IF(OR(O58='Tabla Impacto'!$C$11,O58='Tabla Impacto'!$D$11),"Leve",IF(OR(O58='Tabla Impacto'!$C$12,O58='Tabla Impacto'!$D$12),"Menor",IF(OR(O58='Tabla Impacto'!$C$13,O58='Tabla Impacto'!$D$13),"Moderado",IF(OR(O58='Tabla Impacto'!$C$14,O58='Tabla Impacto'!$D$14),"Mayor",IF(OR(O58='Tabla Impacto'!$C$15,O58='Tabla Impacto'!$D$15),"Catastrófico","")))))</f>
        <v>Menor</v>
      </c>
      <c r="Q58" s="385">
        <f ca="1">IF(P58="","",IF(P58="Leve",0.2,IF(P58="Menor",0.4,IF(P58="Moderado",0.6,IF(P58="Mayor",0.8,IF(P58="Catastrófico",1,))))))</f>
        <v>0.4</v>
      </c>
      <c r="R58" s="387" t="str">
        <f ca="1">IF(OR(AND(L58="Muy Baja",P58="Leve"),AND(L58="Muy Baja",P58="Menor"),AND(L58="Baja",P58="Leve")),"Bajo",IF(OR(AND(L58="Muy baja",P58="Moderado"),AND(L58="Baja",P58="Menor"),AND(L58="Baja",P58="Moderado"),AND(L58="Media",P58="Leve"),AND(L58="Media",P58="Menor"),AND(L58="Media",P58="Moderado"),AND(L58="Alta",P58="Leve"),AND(L58="Alta",P58="Menor")),"Moderado",IF(OR(AND(L58="Muy Baja",P58="Mayor"),AND(L58="Baja",P58="Mayor"),AND(L58="Media",P58="Mayor"),AND(L58="Alta",P58="Moderado"),AND(L58="Alta",P58="Mayor"),AND(L58="Muy Alta",P58="Leve"),AND(L58="Muy Alta",P58="Menor"),AND(L58="Muy Alta",P58="Moderado"),AND(L58="Muy Alta",P58="Mayor")),"Alto",IF(OR(AND(L58="Muy Baja",P58="Catastrófico"),AND(L58="Baja",P58="Catastrófico"),AND(L58="Media",P58="Catastrófico"),AND(L58="Alta",P58="Catastrófico"),AND(L58="Muy Alta",P58="Catastrófico")),"Extremo",""))))</f>
        <v>Moderado</v>
      </c>
      <c r="S58" s="412">
        <v>1</v>
      </c>
      <c r="T58" s="389" t="s">
        <v>332</v>
      </c>
      <c r="U58" s="390" t="s">
        <v>14</v>
      </c>
      <c r="V58" s="390" t="s">
        <v>9</v>
      </c>
      <c r="W58" s="391" t="str">
        <f>IF(AND(U58="Preventivo",V58="Automático"),"50%",IF(AND(U58="Preventivo",V58="Manual"),"40%",IF(AND(U58="Detectivo",V58="Automático"),"40%",IF(AND(U58="Detectivo",V58="Manual"),"30%",IF(AND(U58="Correctivo",V58="Automático"),"35%",IF(AND(U58="Correctivo",V58="Manual"),"25%",""))))))</f>
        <v>40%</v>
      </c>
      <c r="X58" s="390" t="s">
        <v>19</v>
      </c>
      <c r="Y58" s="390" t="s">
        <v>23</v>
      </c>
      <c r="Z58" s="390" t="s">
        <v>117</v>
      </c>
      <c r="AA58" s="392">
        <f>IFERROR(IF(AB58="Probabilidad",(M58-(+M58*W58)),IF(AB58="Impacto",M58,"")),"")</f>
        <v>0.36</v>
      </c>
      <c r="AB58" s="392" t="str">
        <f t="shared" ref="AB58:AB63" si="35">IF(OR(U58="Preventivo",U58="Detectivo"),"Probabilidad",IF(U58="Correctivo","Impacto",""))</f>
        <v>Probabilidad</v>
      </c>
      <c r="AC58" s="393" t="s">
        <v>333</v>
      </c>
      <c r="AD58" s="393" t="s">
        <v>300</v>
      </c>
      <c r="AE58" s="393" t="s">
        <v>286</v>
      </c>
      <c r="AF58" s="394" t="s">
        <v>248</v>
      </c>
      <c r="AG58" s="395" t="str">
        <f t="shared" ref="AG58:AG63" si="36">IFERROR(IF(AA58="","",IF(AA58&lt;=0.2,"Muy Baja",IF(AA58&lt;=0.4,"Baja",IF(AA58&lt;=0.6,"Media",IF(AA58&lt;=0.8,"Alta","Muy Alta"))))),"")</f>
        <v>Baja</v>
      </c>
      <c r="AH58" s="396">
        <f t="shared" ref="AH58:AH63" si="37">+AA58</f>
        <v>0.36</v>
      </c>
      <c r="AI58" s="395" t="str">
        <f t="shared" ref="AI58:AI63" ca="1" si="38">IFERROR(IF(AJ58="","",IF(AJ58&lt;=0.2,"Leve",IF(AJ58&lt;=0.4,"Menor",IF(AJ58&lt;=0.6,"Moderado",IF(AJ58&lt;=0.8,"Mayor","Catastrófico"))))),"")</f>
        <v>Menor</v>
      </c>
      <c r="AJ58" s="396">
        <f ca="1">IFERROR(IF(AB58="Impacto",(Q58-(+Q58*W58)),IF(AB58="Probabilidad",Q58,"")),"")</f>
        <v>0.4</v>
      </c>
      <c r="AK58" s="397" t="str">
        <f ca="1">IFERROR(IF(OR(AND(AG58="Muy Baja",AI58="Leve"),AND(AG58="Muy Baja",AI58="Menor"),AND(AG58="Baja",AI58="Leve")),"Bajo",IF(OR(AND(AG58="Muy baja",AI58="Moderado"),AND(AG58="Baja",AI58="Menor"),AND(AG58="Baja",AI58="Moderado"),AND(AG58="Media",AI58="Leve"),AND(AG58="Media",AI58="Menor"),AND(AG58="Media",AI58="Moderado"),AND(AG58="Alta",AI58="Leve"),AND(AG58="Alta",AI58="Menor")),"Moderado",IF(OR(AND(AG58="Muy Baja",AI58="Mayor"),AND(AG58="Baja",AI58="Mayor"),AND(AG58="Media",AI58="Mayor"),AND(AG58="Alta",AI58="Moderado"),AND(AG58="Alta",AI58="Mayor"),AND(AG58="Muy Alta",AI58="Leve"),AND(AG58="Muy Alta",AI58="Menor"),AND(AG58="Muy Alta",AI58="Moderado"),AND(AG58="Muy Alta",AI58="Mayor")),"Alto",IF(OR(AND(AG58="Muy Baja",AI58="Catastrófico"),AND(AG58="Baja",AI58="Catastrófico"),AND(AG58="Media",AI58="Catastrófico"),AND(AG58="Alta",AI58="Catastrófico"),AND(AG58="Muy Alta",AI58="Catastrófico")),"Extremo","")))),"")</f>
        <v>Moderado</v>
      </c>
      <c r="AL58" s="398" t="s">
        <v>132</v>
      </c>
      <c r="AM58" s="399" t="s">
        <v>361</v>
      </c>
      <c r="AN58" s="399" t="s">
        <v>302</v>
      </c>
      <c r="AO58" s="400" t="s">
        <v>373</v>
      </c>
      <c r="AP58" s="400" t="s">
        <v>431</v>
      </c>
      <c r="AQ58" s="400" t="s">
        <v>433</v>
      </c>
      <c r="AR58" s="401">
        <v>44652</v>
      </c>
      <c r="AS58" s="401">
        <v>44652</v>
      </c>
      <c r="AT58" s="399" t="s">
        <v>328</v>
      </c>
      <c r="AU58" s="388" t="s">
        <v>41</v>
      </c>
    </row>
    <row r="59" spans="1:79" ht="78" x14ac:dyDescent="0.25">
      <c r="A59" s="404"/>
      <c r="B59" s="405"/>
      <c r="C59" s="405"/>
      <c r="D59" s="406"/>
      <c r="E59" s="406"/>
      <c r="F59" s="406"/>
      <c r="G59" s="407"/>
      <c r="H59" s="406"/>
      <c r="I59" s="406"/>
      <c r="J59" s="406"/>
      <c r="K59" s="404"/>
      <c r="L59" s="408"/>
      <c r="M59" s="409"/>
      <c r="N59" s="410"/>
      <c r="O59" s="409">
        <f ca="1">IF(NOT(ISERROR(MATCH(N59,_xlfn.ANCHORARRAY(#REF!),0))),#REF!&amp;"Por favor no seleccionar los criterios de impacto",N59)</f>
        <v>0</v>
      </c>
      <c r="P59" s="408"/>
      <c r="Q59" s="409"/>
      <c r="R59" s="411"/>
      <c r="S59" s="412">
        <v>2</v>
      </c>
      <c r="T59" s="389" t="s">
        <v>307</v>
      </c>
      <c r="U59" s="414" t="s">
        <v>14</v>
      </c>
      <c r="V59" s="414" t="s">
        <v>10</v>
      </c>
      <c r="W59" s="391" t="str">
        <f t="shared" ref="W59:W63" si="39">IF(AND(U59="Preventivo",V59="Automático"),"50%",IF(AND(U59="Preventivo",V59="Manual"),"40%",IF(AND(U59="Detectivo",V59="Automático"),"40%",IF(AND(U59="Detectivo",V59="Manual"),"30%",IF(AND(U59="Correctivo",V59="Automático"),"35%",IF(AND(U59="Correctivo",V59="Manual"),"25%",""))))))</f>
        <v>50%</v>
      </c>
      <c r="X59" s="414" t="s">
        <v>19</v>
      </c>
      <c r="Y59" s="390" t="s">
        <v>23</v>
      </c>
      <c r="Z59" s="390" t="s">
        <v>117</v>
      </c>
      <c r="AA59" s="392">
        <f>IFERROR(IF(AND(AB58="Probabilidad",AB59="Probabilidad"),(AH58-(+AH58*W59)),IF(AB59="Probabilidad",(M58-(+M58*W59)),IF(AB59="Impacto",AH58,""))),"")</f>
        <v>0.18</v>
      </c>
      <c r="AB59" s="392" t="str">
        <f t="shared" si="35"/>
        <v>Probabilidad</v>
      </c>
      <c r="AC59" s="393" t="s">
        <v>308</v>
      </c>
      <c r="AD59" s="393" t="s">
        <v>300</v>
      </c>
      <c r="AE59" s="393" t="s">
        <v>286</v>
      </c>
      <c r="AF59" s="394" t="s">
        <v>248</v>
      </c>
      <c r="AG59" s="417" t="str">
        <f t="shared" si="36"/>
        <v>Muy Baja</v>
      </c>
      <c r="AH59" s="396">
        <f t="shared" si="37"/>
        <v>0.18</v>
      </c>
      <c r="AI59" s="395" t="str">
        <f t="shared" ca="1" si="38"/>
        <v>Menor</v>
      </c>
      <c r="AJ59" s="396">
        <f ca="1">IFERROR(IF(AND(AB58="Impacto",AB59="Impacto"),(AJ58-(+AJ58*W59)),IF(AB59="Impacto",($Q$10-(+$Q$10*AB59)),IF(AB59="Probabilidad",AJ58,""))),"")</f>
        <v>0.4</v>
      </c>
      <c r="AK59" s="397" t="str">
        <f ca="1">IFERROR(IF(OR(AND(AG59="Muy Baja",AI59="Leve"),AND(AG59="Muy Baja",AI59="Menor"),AND(AG59="Baja",AI59="Leve")),"Bajo",IF(OR(AND(AG59="Muy baja",AI59="Moderado"),AND(AG59="Baja",AI59="Menor"),AND(AG59="Baja",AI59="Moderado"),AND(AG59="Media",AI59="Leve"),AND(AG59="Media",AI59="Menor"),AND(AG59="Media",AI59="Moderado"),AND(AG59="Alta",AI59="Leve"),AND(AG59="Alta",AI59="Menor")),"Moderado",IF(OR(AND(AG59="Muy Baja",AI59="Mayor"),AND(AG59="Baja",AI59="Mayor"),AND(AG59="Media",AI59="Mayor"),AND(AG59="Alta",AI59="Moderado"),AND(AG59="Alta",AI59="Mayor"),AND(AG59="Muy Alta",AI59="Leve"),AND(AG59="Muy Alta",AI59="Menor"),AND(AG59="Muy Alta",AI59="Moderado"),AND(AG59="Muy Alta",AI59="Mayor")),"Alto",IF(OR(AND(AG59="Muy Baja",AI59="Catastrófico"),AND(AG59="Baja",AI59="Catastrófico"),AND(AG59="Media",AI59="Catastrófico"),AND(AG59="Alta",AI59="Catastrófico"),AND(AG59="Muy Alta",AI59="Catastrófico")),"Extremo","")))),"")</f>
        <v>Bajo</v>
      </c>
      <c r="AL59" s="398" t="s">
        <v>132</v>
      </c>
      <c r="AM59" s="399" t="s">
        <v>310</v>
      </c>
      <c r="AN59" s="399" t="s">
        <v>300</v>
      </c>
      <c r="AO59" s="400" t="s">
        <v>530</v>
      </c>
      <c r="AP59" s="400" t="s">
        <v>458</v>
      </c>
      <c r="AQ59" s="400" t="s">
        <v>459</v>
      </c>
      <c r="AR59" s="401">
        <v>44866</v>
      </c>
      <c r="AS59" s="401" t="s">
        <v>311</v>
      </c>
      <c r="AT59" s="399" t="s">
        <v>300</v>
      </c>
      <c r="AU59" s="388" t="s">
        <v>41</v>
      </c>
    </row>
    <row r="60" spans="1:79" ht="78" x14ac:dyDescent="0.25">
      <c r="A60" s="404"/>
      <c r="B60" s="405"/>
      <c r="C60" s="405"/>
      <c r="D60" s="406"/>
      <c r="E60" s="406"/>
      <c r="F60" s="406"/>
      <c r="G60" s="407"/>
      <c r="H60" s="406"/>
      <c r="I60" s="406"/>
      <c r="J60" s="406"/>
      <c r="K60" s="404"/>
      <c r="L60" s="408"/>
      <c r="M60" s="409"/>
      <c r="N60" s="410"/>
      <c r="O60" s="409">
        <f ca="1">IF(NOT(ISERROR(MATCH(N60,_xlfn.ANCHORARRAY(#REF!),0))),#REF!&amp;"Por favor no seleccionar los criterios de impacto",N60)</f>
        <v>0</v>
      </c>
      <c r="P60" s="408"/>
      <c r="Q60" s="409"/>
      <c r="R60" s="411"/>
      <c r="S60" s="412">
        <v>3</v>
      </c>
      <c r="T60" s="389" t="s">
        <v>309</v>
      </c>
      <c r="U60" s="414" t="s">
        <v>14</v>
      </c>
      <c r="V60" s="414" t="s">
        <v>10</v>
      </c>
      <c r="W60" s="391" t="str">
        <f t="shared" si="39"/>
        <v>50%</v>
      </c>
      <c r="X60" s="414" t="s">
        <v>19</v>
      </c>
      <c r="Y60" s="390" t="s">
        <v>23</v>
      </c>
      <c r="Z60" s="390" t="s">
        <v>117</v>
      </c>
      <c r="AA60" s="392">
        <f>IFERROR(IF(AND(AB59="Probabilidad",AB60="Probabilidad"),(AH59-(+AH59*W60)),IF(AND(AB59="Impacto",AB60="Probabilidad"),(W59-(+W59*W60)),IF(AB60="Impacto",AB59,""))),"")</f>
        <v>0.09</v>
      </c>
      <c r="AB60" s="392" t="str">
        <f t="shared" si="35"/>
        <v>Probabilidad</v>
      </c>
      <c r="AC60" s="393" t="s">
        <v>308</v>
      </c>
      <c r="AD60" s="393" t="s">
        <v>300</v>
      </c>
      <c r="AE60" s="393" t="s">
        <v>286</v>
      </c>
      <c r="AF60" s="394" t="s">
        <v>248</v>
      </c>
      <c r="AG60" s="417" t="str">
        <f t="shared" si="36"/>
        <v>Muy Baja</v>
      </c>
      <c r="AH60" s="396">
        <f t="shared" si="37"/>
        <v>0.09</v>
      </c>
      <c r="AI60" s="395" t="str">
        <f t="shared" ca="1" si="38"/>
        <v>Menor</v>
      </c>
      <c r="AJ60" s="396">
        <f ca="1">IFERROR(IF(AND(AB59="Impacto",AB60="Impacto"),(AJ59-(+AJ59*W60)),IF(AND(AB59="Probabilidad",AB60="Impacto"),(AJ58-(+AJ58*W60)),IF(AB60="Probabilidad",AJ59,""))),"")</f>
        <v>0.4</v>
      </c>
      <c r="AK60" s="397" t="str">
        <f ca="1">IFERROR(IF(OR(AND(AG60="Muy Baja",AI60="Leve"),AND(AG60="Muy Baja",AI60="Menor"),AND(AG60="Baja",AI60="Leve")),"Bajo",IF(OR(AND(AG60="Muy baja",AI60="Moderado"),AND(AG60="Baja",AI60="Menor"),AND(AG60="Baja",AI60="Moderado"),AND(AG60="Media",AI60="Leve"),AND(AG60="Media",AI60="Menor"),AND(AG60="Media",AI60="Moderado"),AND(AG60="Alta",AI60="Leve"),AND(AG60="Alta",AI60="Menor")),"Moderado",IF(OR(AND(AG60="Muy Baja",AI60="Mayor"),AND(AG60="Baja",AI60="Mayor"),AND(AG60="Media",AI60="Mayor"),AND(AG60="Alta",AI60="Moderado"),AND(AG60="Alta",AI60="Mayor"),AND(AG60="Muy Alta",AI60="Leve"),AND(AG60="Muy Alta",AI60="Menor"),AND(AG60="Muy Alta",AI60="Moderado"),AND(AG60="Muy Alta",AI60="Mayor")),"Alto",IF(OR(AND(AG60="Muy Baja",AI60="Catastrófico"),AND(AG60="Baja",AI60="Catastrófico"),AND(AG60="Media",AI60="Catastrófico"),AND(AG60="Alta",AI60="Catastrófico"),AND(AG60="Muy Alta",AI60="Catastrófico")),"Extremo","")))),"")</f>
        <v>Bajo</v>
      </c>
      <c r="AL60" s="398" t="s">
        <v>132</v>
      </c>
      <c r="AM60" s="399" t="s">
        <v>310</v>
      </c>
      <c r="AN60" s="399" t="s">
        <v>300</v>
      </c>
      <c r="AO60" s="400" t="s">
        <v>530</v>
      </c>
      <c r="AP60" s="400" t="s">
        <v>458</v>
      </c>
      <c r="AQ60" s="400" t="s">
        <v>459</v>
      </c>
      <c r="AR60" s="401">
        <v>44866</v>
      </c>
      <c r="AS60" s="401" t="s">
        <v>311</v>
      </c>
      <c r="AT60" s="399" t="s">
        <v>300</v>
      </c>
      <c r="AU60" s="388" t="s">
        <v>41</v>
      </c>
    </row>
    <row r="61" spans="1:79" x14ac:dyDescent="0.25">
      <c r="A61" s="404"/>
      <c r="B61" s="405"/>
      <c r="C61" s="405"/>
      <c r="D61" s="406"/>
      <c r="E61" s="406"/>
      <c r="F61" s="406"/>
      <c r="G61" s="407"/>
      <c r="H61" s="406"/>
      <c r="I61" s="406"/>
      <c r="J61" s="406"/>
      <c r="K61" s="404"/>
      <c r="L61" s="408"/>
      <c r="M61" s="409"/>
      <c r="N61" s="410"/>
      <c r="O61" s="409">
        <f ca="1">IF(NOT(ISERROR(MATCH(N61,_xlfn.ANCHORARRAY(#REF!),0))),#REF!&amp;"Por favor no seleccionar los criterios de impacto",N61)</f>
        <v>0</v>
      </c>
      <c r="P61" s="408"/>
      <c r="Q61" s="409"/>
      <c r="R61" s="411"/>
      <c r="S61" s="412">
        <v>4</v>
      </c>
      <c r="T61" s="389"/>
      <c r="U61" s="414"/>
      <c r="V61" s="414"/>
      <c r="W61" s="413" t="str">
        <f t="shared" si="39"/>
        <v/>
      </c>
      <c r="X61" s="414"/>
      <c r="Y61" s="414"/>
      <c r="Z61" s="414"/>
      <c r="AA61" s="415" t="str">
        <f>IFERROR(IF(AND(AB60="Probabilidad",AB61="Probabilidad"),(AH60-(+AH60*W61)),IF(AND(AB60="Impacto",AB61="Probabilidad"),(W60-(+W60*W61)),IF(AB61="Impacto",AB60,""))),"")</f>
        <v/>
      </c>
      <c r="AB61" s="392" t="str">
        <f t="shared" si="35"/>
        <v/>
      </c>
      <c r="AC61" s="393"/>
      <c r="AD61" s="393"/>
      <c r="AE61" s="393"/>
      <c r="AF61" s="394"/>
      <c r="AG61" s="417" t="str">
        <f t="shared" si="36"/>
        <v/>
      </c>
      <c r="AH61" s="416" t="str">
        <f t="shared" si="37"/>
        <v/>
      </c>
      <c r="AI61" s="395" t="str">
        <f t="shared" si="38"/>
        <v/>
      </c>
      <c r="AJ61" s="396" t="str">
        <f>IFERROR(IF(AND(AB60="Impacto",AB61="Impacto"),(AJ60-(+AJ60*W61)),IF(AND(AB60="Probabilidad",AB61="Impacto"),(AJ59-(+AJ59*W61)),IF(AB61="Probabilidad",AJ60,""))),"")</f>
        <v/>
      </c>
      <c r="AK61" s="397" t="str">
        <f t="shared" ref="AK61:AK63" si="40">IFERROR(IF(OR(AND(AG61="Muy Baja",AI61="Leve"),AND(AG61="Muy Baja",AI61="Menor"),AND(AG61="Baja",AI61="Leve")),"Bajo",IF(OR(AND(AG61="Muy baja",AI61="Moderado"),AND(AG61="Baja",AI61="Menor"),AND(AG61="Baja",AI61="Moderado"),AND(AG61="Media",AI61="Leve"),AND(AG61="Media",AI61="Menor"),AND(AG61="Media",AI61="Moderado"),AND(AG61="Alta",AI61="Leve"),AND(AG61="Alta",AI61="Menor")),"Moderado",IF(OR(AND(AG61="Muy Baja",AI61="Mayor"),AND(AG61="Baja",AI61="Mayor"),AND(AG61="Media",AI61="Mayor"),AND(AG61="Alta",AI61="Moderado"),AND(AG61="Alta",AI61="Mayor"),AND(AG61="Muy Alta",AI61="Leve"),AND(AG61="Muy Alta",AI61="Menor"),AND(AG61="Muy Alta",AI61="Moderado"),AND(AG61="Muy Alta",AI61="Mayor")),"Alto",IF(OR(AND(AG61="Muy Baja",AI61="Catastrófico"),AND(AG61="Baja",AI61="Catastrófico"),AND(AG61="Media",AI61="Catastrófico"),AND(AG61="Alta",AI61="Catastrófico"),AND(AG61="Muy Alta",AI61="Catastrófico")),"Extremo","")))),"")</f>
        <v/>
      </c>
      <c r="AL61" s="398"/>
      <c r="AM61" s="399"/>
      <c r="AN61" s="399"/>
      <c r="AO61" s="400"/>
      <c r="AP61" s="400"/>
      <c r="AQ61" s="400"/>
      <c r="AR61" s="401"/>
      <c r="AS61" s="401"/>
      <c r="AT61" s="399"/>
      <c r="AU61" s="388"/>
    </row>
    <row r="62" spans="1:79" x14ac:dyDescent="0.25">
      <c r="A62" s="404"/>
      <c r="B62" s="405"/>
      <c r="C62" s="405"/>
      <c r="D62" s="406"/>
      <c r="E62" s="406"/>
      <c r="F62" s="406"/>
      <c r="G62" s="407"/>
      <c r="H62" s="406"/>
      <c r="I62" s="406"/>
      <c r="J62" s="406"/>
      <c r="K62" s="404"/>
      <c r="L62" s="408"/>
      <c r="M62" s="409"/>
      <c r="N62" s="410"/>
      <c r="O62" s="409">
        <f ca="1">IF(NOT(ISERROR(MATCH(N62,_xlfn.ANCHORARRAY(#REF!),0))),#REF!&amp;"Por favor no seleccionar los criterios de impacto",N62)</f>
        <v>0</v>
      </c>
      <c r="P62" s="408"/>
      <c r="Q62" s="409"/>
      <c r="R62" s="411"/>
      <c r="S62" s="412">
        <v>5</v>
      </c>
      <c r="T62" s="389"/>
      <c r="U62" s="414"/>
      <c r="V62" s="414"/>
      <c r="W62" s="413" t="str">
        <f t="shared" si="39"/>
        <v/>
      </c>
      <c r="X62" s="414"/>
      <c r="Y62" s="414"/>
      <c r="Z62" s="414"/>
      <c r="AA62" s="415" t="str">
        <f>IFERROR(IF(AND(AB61="Probabilidad",AB62="Probabilidad"),(AH61-(+AH61*W62)),IF(AND(AB61="Impacto",AB62="Probabilidad"),(W61-(+W61*W62)),IF(AB62="Impacto",AB61,""))),"")</f>
        <v/>
      </c>
      <c r="AB62" s="392" t="str">
        <f t="shared" si="35"/>
        <v/>
      </c>
      <c r="AC62" s="393"/>
      <c r="AD62" s="393"/>
      <c r="AE62" s="393"/>
      <c r="AF62" s="394"/>
      <c r="AG62" s="417" t="str">
        <f t="shared" si="36"/>
        <v/>
      </c>
      <c r="AH62" s="416" t="str">
        <f t="shared" si="37"/>
        <v/>
      </c>
      <c r="AI62" s="395" t="str">
        <f t="shared" si="38"/>
        <v/>
      </c>
      <c r="AJ62" s="396" t="str">
        <f>IFERROR(IF(AND(AB61="Impacto",AB62="Impacto"),(AJ61-(+AJ61*W62)),IF(AND(AB61="Probabilidad",AB62="Impacto"),(AJ60-(+AJ60*W62)),IF(AB62="Probabilidad",AJ61,""))),"")</f>
        <v/>
      </c>
      <c r="AK62" s="397" t="str">
        <f t="shared" si="40"/>
        <v/>
      </c>
      <c r="AL62" s="398"/>
      <c r="AM62" s="399"/>
      <c r="AN62" s="399"/>
      <c r="AO62" s="400"/>
      <c r="AP62" s="400"/>
      <c r="AQ62" s="400"/>
      <c r="AR62" s="401"/>
      <c r="AS62" s="401"/>
      <c r="AT62" s="399"/>
      <c r="AU62" s="388"/>
    </row>
    <row r="63" spans="1:79" x14ac:dyDescent="0.25">
      <c r="A63" s="418"/>
      <c r="B63" s="419"/>
      <c r="C63" s="419"/>
      <c r="D63" s="420"/>
      <c r="E63" s="420"/>
      <c r="F63" s="420"/>
      <c r="G63" s="421"/>
      <c r="H63" s="420"/>
      <c r="I63" s="420"/>
      <c r="J63" s="420"/>
      <c r="K63" s="418"/>
      <c r="L63" s="422"/>
      <c r="M63" s="423"/>
      <c r="N63" s="424"/>
      <c r="O63" s="423">
        <f ca="1">IF(NOT(ISERROR(MATCH(N63,_xlfn.ANCHORARRAY(#REF!),0))),#REF!&amp;"Por favor no seleccionar los criterios de impacto",N63)</f>
        <v>0</v>
      </c>
      <c r="P63" s="422"/>
      <c r="Q63" s="423"/>
      <c r="R63" s="425"/>
      <c r="S63" s="412">
        <v>6</v>
      </c>
      <c r="T63" s="389"/>
      <c r="U63" s="414"/>
      <c r="V63" s="414"/>
      <c r="W63" s="413" t="str">
        <f t="shared" si="39"/>
        <v/>
      </c>
      <c r="X63" s="414"/>
      <c r="Y63" s="414"/>
      <c r="Z63" s="414"/>
      <c r="AA63" s="415" t="str">
        <f>IFERROR(IF(AND(AB62="Probabilidad",AB63="Probabilidad"),(AH62-(+AH62*W63)),IF(AND(AB62="Impacto",AB63="Probabilidad"),(W62-(+W62*W63)),IF(AB63="Impacto",AB62,""))),"")</f>
        <v/>
      </c>
      <c r="AB63" s="392" t="str">
        <f t="shared" si="35"/>
        <v/>
      </c>
      <c r="AC63" s="393"/>
      <c r="AD63" s="393"/>
      <c r="AE63" s="393"/>
      <c r="AF63" s="394"/>
      <c r="AG63" s="417" t="str">
        <f t="shared" si="36"/>
        <v/>
      </c>
      <c r="AH63" s="416" t="str">
        <f t="shared" si="37"/>
        <v/>
      </c>
      <c r="AI63" s="395" t="str">
        <f t="shared" si="38"/>
        <v/>
      </c>
      <c r="AJ63" s="396" t="str">
        <f>IFERROR(IF(AND(AB62="Impacto",AB63="Impacto"),(AJ62-(+AJ62*W63)),IF(AND(AB62="Probabilidad",AB63="Impacto"),(AJ61-(+AJ61*W63)),IF(AB63="Probabilidad",AJ62,""))),"")</f>
        <v/>
      </c>
      <c r="AK63" s="397" t="str">
        <f t="shared" si="40"/>
        <v/>
      </c>
      <c r="AL63" s="398"/>
      <c r="AM63" s="399"/>
      <c r="AN63" s="399"/>
      <c r="AO63" s="400"/>
      <c r="AP63" s="400"/>
      <c r="AQ63" s="400"/>
      <c r="AR63" s="401"/>
      <c r="AS63" s="401"/>
      <c r="AT63" s="399"/>
      <c r="AU63" s="388"/>
    </row>
    <row r="64" spans="1:79" ht="78" x14ac:dyDescent="0.25">
      <c r="A64" s="380">
        <v>11</v>
      </c>
      <c r="B64" s="381" t="s">
        <v>329</v>
      </c>
      <c r="C64" s="381" t="s">
        <v>218</v>
      </c>
      <c r="D64" s="382" t="s">
        <v>128</v>
      </c>
      <c r="E64" s="382" t="s">
        <v>544</v>
      </c>
      <c r="F64" s="382" t="s">
        <v>359</v>
      </c>
      <c r="G64" s="383" t="s">
        <v>360</v>
      </c>
      <c r="H64" s="382" t="s">
        <v>124</v>
      </c>
      <c r="I64" s="382" t="s">
        <v>236</v>
      </c>
      <c r="J64" s="382" t="s">
        <v>331</v>
      </c>
      <c r="K64" s="380" t="s">
        <v>102</v>
      </c>
      <c r="L64" s="384" t="str">
        <f>IF(K64&lt;=0,"",IF(K64&lt;="La actividad que conlleva el riesgo se ejecuta como máximos 2 veces por año","Muy Baja",IF(K64="La actividad que conlleva el riesgo se ejecuta de 3 a 24 veces por año","Baja",IF(K64="La actividad que conlleva el riesgo se ejecuta de 24 a 500 veces por año","Media",IF(K64="La actividad que conlleva el riesgo se ejecuta mínimo 500 veces al año y máximo 5000 veces por año","Alta","Muy Alta")))))</f>
        <v>Media</v>
      </c>
      <c r="M64" s="385">
        <f>IF(L64="","",IF(L64="Muy Baja",0.2,IF(L64="Baja",0.4,IF(L64="Media",0.6,IF(L64="Alta",0.8,IF(L64="Muy Alta",1,))))))</f>
        <v>0.6</v>
      </c>
      <c r="N64" s="386" t="s">
        <v>147</v>
      </c>
      <c r="O64" s="385" t="str">
        <f ca="1">IF(NOT(ISERROR(MATCH(N64,'Tabla Impacto'!$B$221:$B$223,0))),'Tabla Impacto'!$F$223&amp;"Por favor no seleccionar los criterios de impacto(Afectación Económica o presupuestal y Pérdida Reputacional)",N64)</f>
        <v xml:space="preserve">     El riesgo afecta la imagen de alguna área de la organización</v>
      </c>
      <c r="P64" s="384" t="str">
        <f ca="1">IF(OR(O64='Tabla Impacto'!$C$11,O64='Tabla Impacto'!$D$11),"Leve",IF(OR(O64='Tabla Impacto'!$C$12,O64='Tabla Impacto'!$D$12),"Menor",IF(OR(O64='Tabla Impacto'!$C$13,O64='Tabla Impacto'!$D$13),"Moderado",IF(OR(O64='Tabla Impacto'!$C$14,O64='Tabla Impacto'!$D$14),"Mayor",IF(OR(O64='Tabla Impacto'!$C$15,O64='Tabla Impacto'!$D$15),"Catastrófico","")))))</f>
        <v>Leve</v>
      </c>
      <c r="Q64" s="385">
        <f ca="1">IF(P64="","",IF(P64="Leve",0.2,IF(P64="Menor",0.4,IF(P64="Moderado",0.6,IF(P64="Mayor",0.8,IF(P64="Catastrófico",1,))))))</f>
        <v>0.2</v>
      </c>
      <c r="R64" s="387" t="str">
        <f ca="1">IF(OR(AND(L64="Muy Baja",P64="Leve"),AND(L64="Muy Baja",P64="Menor"),AND(L64="Baja",P64="Leve")),"Bajo",IF(OR(AND(L64="Muy baja",P64="Moderado"),AND(L64="Baja",P64="Menor"),AND(L64="Baja",P64="Moderado"),AND(L64="Media",P64="Leve"),AND(L64="Media",P64="Menor"),AND(L64="Media",P64="Moderado"),AND(L64="Alta",P64="Leve"),AND(L64="Alta",P64="Menor")),"Moderado",IF(OR(AND(L64="Muy Baja",P64="Mayor"),AND(L64="Baja",P64="Mayor"),AND(L64="Media",P64="Mayor"),AND(L64="Alta",P64="Moderado"),AND(L64="Alta",P64="Mayor"),AND(L64="Muy Alta",P64="Leve"),AND(L64="Muy Alta",P64="Menor"),AND(L64="Muy Alta",P64="Moderado"),AND(L64="Muy Alta",P64="Mayor")),"Alto",IF(OR(AND(L64="Muy Baja",P64="Catastrófico"),AND(L64="Baja",P64="Catastrófico"),AND(L64="Media",P64="Catastrófico"),AND(L64="Alta",P64="Catastrófico"),AND(L64="Muy Alta",P64="Catastrófico")),"Extremo",""))))</f>
        <v>Moderado</v>
      </c>
      <c r="S64" s="412">
        <v>1</v>
      </c>
      <c r="T64" s="389" t="s">
        <v>332</v>
      </c>
      <c r="U64" s="390" t="s">
        <v>14</v>
      </c>
      <c r="V64" s="390" t="s">
        <v>9</v>
      </c>
      <c r="W64" s="391" t="str">
        <f>IF(AND(U64="Preventivo",V64="Automático"),"50%",IF(AND(U64="Preventivo",V64="Manual"),"40%",IF(AND(U64="Detectivo",V64="Automático"),"40%",IF(AND(U64="Detectivo",V64="Manual"),"30%",IF(AND(U64="Correctivo",V64="Automático"),"35%",IF(AND(U64="Correctivo",V64="Manual"),"25%",""))))))</f>
        <v>40%</v>
      </c>
      <c r="X64" s="390" t="s">
        <v>19</v>
      </c>
      <c r="Y64" s="390" t="s">
        <v>23</v>
      </c>
      <c r="Z64" s="390" t="s">
        <v>117</v>
      </c>
      <c r="AA64" s="392">
        <v>0.36</v>
      </c>
      <c r="AB64" s="392" t="s">
        <v>4</v>
      </c>
      <c r="AC64" s="393" t="s">
        <v>333</v>
      </c>
      <c r="AD64" s="393" t="s">
        <v>300</v>
      </c>
      <c r="AE64" s="393" t="s">
        <v>286</v>
      </c>
      <c r="AF64" s="394" t="s">
        <v>248</v>
      </c>
      <c r="AG64" s="417" t="s">
        <v>51</v>
      </c>
      <c r="AH64" s="416">
        <v>0.36</v>
      </c>
      <c r="AI64" s="395" t="s">
        <v>82</v>
      </c>
      <c r="AJ64" s="396">
        <v>0.4</v>
      </c>
      <c r="AK64" s="397" t="s">
        <v>79</v>
      </c>
      <c r="AL64" s="398" t="s">
        <v>132</v>
      </c>
      <c r="AM64" s="399" t="s">
        <v>361</v>
      </c>
      <c r="AN64" s="399" t="s">
        <v>302</v>
      </c>
      <c r="AO64" s="400" t="s">
        <v>373</v>
      </c>
      <c r="AP64" s="400" t="s">
        <v>431</v>
      </c>
      <c r="AQ64" s="400" t="s">
        <v>433</v>
      </c>
      <c r="AR64" s="401">
        <v>44652</v>
      </c>
      <c r="AS64" s="401">
        <v>44652</v>
      </c>
      <c r="AT64" s="399" t="s">
        <v>328</v>
      </c>
      <c r="AU64" s="388" t="s">
        <v>41</v>
      </c>
    </row>
    <row r="65" spans="1:47" x14ac:dyDescent="0.25">
      <c r="A65" s="404"/>
      <c r="B65" s="405"/>
      <c r="C65" s="405"/>
      <c r="D65" s="406"/>
      <c r="E65" s="406"/>
      <c r="F65" s="406"/>
      <c r="G65" s="407"/>
      <c r="H65" s="406"/>
      <c r="I65" s="406"/>
      <c r="J65" s="406"/>
      <c r="K65" s="404"/>
      <c r="L65" s="408"/>
      <c r="M65" s="409"/>
      <c r="N65" s="410"/>
      <c r="O65" s="409">
        <f ca="1">IF(NOT(ISERROR(MATCH(N65,_xlfn.ANCHORARRAY(G72),0))),M74&amp;"Por favor no seleccionar los criterios de impacto",N65)</f>
        <v>0</v>
      </c>
      <c r="P65" s="408"/>
      <c r="Q65" s="409"/>
      <c r="R65" s="411"/>
      <c r="S65" s="412">
        <v>2</v>
      </c>
      <c r="T65" s="389"/>
      <c r="U65" s="414"/>
      <c r="V65" s="414"/>
      <c r="W65" s="413" t="str">
        <f t="shared" ref="W65:W69" si="41">IF(AND(U65="Preventivo",V65="Automático"),"50%",IF(AND(U65="Preventivo",V65="Manual"),"40%",IF(AND(U65="Detectivo",V65="Automático"),"40%",IF(AND(U65="Detectivo",V65="Manual"),"30%",IF(AND(U65="Correctivo",V65="Automático"),"35%",IF(AND(U65="Correctivo",V65="Manual"),"25%",""))))))</f>
        <v/>
      </c>
      <c r="X65" s="414"/>
      <c r="Y65" s="414"/>
      <c r="Z65" s="414"/>
      <c r="AA65" s="415" t="str">
        <f>IFERROR(IF(AND(AB64="Probabilidad",AB65="Probabilidad"),(AH64-(+AH64*W65)),IF(AB65="Probabilidad",(M64-(+M64*W65)),IF(AB65="Impacto",AH64,""))),"")</f>
        <v/>
      </c>
      <c r="AB65" s="392" t="str">
        <f t="shared" ref="AB65:AB69" si="42">IF(OR(U65="Preventivo",U65="Detectivo"),"Probabilidad",IF(U65="Correctivo","Impacto",""))</f>
        <v/>
      </c>
      <c r="AC65" s="393"/>
      <c r="AD65" s="393"/>
      <c r="AE65" s="393"/>
      <c r="AF65" s="394"/>
      <c r="AG65" s="417" t="str">
        <f t="shared" ref="AG65:AG69" si="43">IFERROR(IF(AA65="","",IF(AA65&lt;=0.2,"Muy Baja",IF(AA65&lt;=0.4,"Baja",IF(AA65&lt;=0.6,"Media",IF(AA65&lt;=0.8,"Alta","Muy Alta"))))),"")</f>
        <v/>
      </c>
      <c r="AH65" s="416" t="str">
        <f t="shared" ref="AH65:AH69" si="44">+AA65</f>
        <v/>
      </c>
      <c r="AI65" s="395" t="str">
        <f t="shared" ref="AI65:AI69" si="45">IFERROR(IF(AJ65="","",IF(AJ65&lt;=0.2,"Leve",IF(AJ65&lt;=0.4,"Menor",IF(AJ65&lt;=0.6,"Moderado",IF(AJ65&lt;=0.8,"Mayor","Catastrófico"))))),"")</f>
        <v/>
      </c>
      <c r="AJ65" s="396" t="str">
        <f>IFERROR(IF(AND(AB64="Impacto",AB65="Impacto"),(AJ64-(+AJ64*W65)),IF(AB65="Impacto",($Q$10-(+$Q$10*AB65)),IF(AB65="Probabilidad",AJ64,""))),"")</f>
        <v/>
      </c>
      <c r="AK65" s="397" t="str">
        <f>IFERROR(IF(OR(AND(AG65="Muy Baja",AI65="Leve"),AND(AG65="Muy Baja",AI65="Menor"),AND(AG65="Baja",AI65="Leve")),"Bajo",IF(OR(AND(AG65="Muy baja",AI65="Moderado"),AND(AG65="Baja",AI65="Menor"),AND(AG65="Baja",AI65="Moderado"),AND(AG65="Media",AI65="Leve"),AND(AG65="Media",AI65="Menor"),AND(AG65="Media",AI65="Moderado"),AND(AG65="Alta",AI65="Leve"),AND(AG65="Alta",AI65="Menor")),"Moderado",IF(OR(AND(AG65="Muy Baja",AI65="Mayor"),AND(AG65="Baja",AI65="Mayor"),AND(AG65="Media",AI65="Mayor"),AND(AG65="Alta",AI65="Moderado"),AND(AG65="Alta",AI65="Mayor"),AND(AG65="Muy Alta",AI65="Leve"),AND(AG65="Muy Alta",AI65="Menor"),AND(AG65="Muy Alta",AI65="Moderado"),AND(AG65="Muy Alta",AI65="Mayor")),"Alto",IF(OR(AND(AG65="Muy Baja",AI65="Catastrófico"),AND(AG65="Baja",AI65="Catastrófico"),AND(AG65="Media",AI65="Catastrófico"),AND(AG65="Alta",AI65="Catastrófico"),AND(AG65="Muy Alta",AI65="Catastrófico")),"Extremo","")))),"")</f>
        <v/>
      </c>
      <c r="AL65" s="398"/>
      <c r="AM65" s="399"/>
      <c r="AN65" s="399"/>
      <c r="AO65" s="400"/>
      <c r="AP65" s="400"/>
      <c r="AQ65" s="400"/>
      <c r="AR65" s="401"/>
      <c r="AS65" s="401"/>
      <c r="AT65" s="399"/>
      <c r="AU65" s="388"/>
    </row>
    <row r="66" spans="1:47" x14ac:dyDescent="0.25">
      <c r="A66" s="404"/>
      <c r="B66" s="405"/>
      <c r="C66" s="405"/>
      <c r="D66" s="406"/>
      <c r="E66" s="406"/>
      <c r="F66" s="406"/>
      <c r="G66" s="407"/>
      <c r="H66" s="406"/>
      <c r="I66" s="406"/>
      <c r="J66" s="406"/>
      <c r="K66" s="404"/>
      <c r="L66" s="408"/>
      <c r="M66" s="409"/>
      <c r="N66" s="410"/>
      <c r="O66" s="409">
        <f ca="1">IF(NOT(ISERROR(MATCH(N66,_xlfn.ANCHORARRAY(G73),0))),M75&amp;"Por favor no seleccionar los criterios de impacto",N66)</f>
        <v>0</v>
      </c>
      <c r="P66" s="408"/>
      <c r="Q66" s="409"/>
      <c r="R66" s="411"/>
      <c r="S66" s="412">
        <v>3</v>
      </c>
      <c r="T66" s="389"/>
      <c r="U66" s="414"/>
      <c r="V66" s="414"/>
      <c r="W66" s="413" t="str">
        <f t="shared" si="41"/>
        <v/>
      </c>
      <c r="X66" s="414"/>
      <c r="Y66" s="414"/>
      <c r="Z66" s="414"/>
      <c r="AA66" s="415" t="str">
        <f>IFERROR(IF(AND(AB65="Probabilidad",AB66="Probabilidad"),(AH65-(+AH65*W66)),IF(AND(AB65="Impacto",AB66="Probabilidad"),(W65-(+W65*W66)),IF(AB66="Impacto",AB65,""))),"")</f>
        <v/>
      </c>
      <c r="AB66" s="392" t="str">
        <f t="shared" si="42"/>
        <v/>
      </c>
      <c r="AC66" s="393"/>
      <c r="AD66" s="393"/>
      <c r="AE66" s="393"/>
      <c r="AF66" s="394"/>
      <c r="AG66" s="417" t="str">
        <f t="shared" si="43"/>
        <v/>
      </c>
      <c r="AH66" s="416" t="str">
        <f t="shared" si="44"/>
        <v/>
      </c>
      <c r="AI66" s="395" t="str">
        <f t="shared" si="45"/>
        <v/>
      </c>
      <c r="AJ66" s="396" t="str">
        <f>IFERROR(IF(AND(AB65="Impacto",AB66="Impacto"),(AJ65-(+AJ65*W66)),IF(AND(AB65="Probabilidad",AB66="Impacto"),(AJ64-(+AJ64*W66)),IF(AB66="Probabilidad",AJ65,""))),"")</f>
        <v/>
      </c>
      <c r="AK66" s="397" t="str">
        <f>IFERROR(IF(OR(AND(AG66="Muy Baja",AI66="Leve"),AND(AG66="Muy Baja",AI66="Menor"),AND(AG66="Baja",AI66="Leve")),"Bajo",IF(OR(AND(AG66="Muy baja",AI66="Moderado"),AND(AG66="Baja",AI66="Menor"),AND(AG66="Baja",AI66="Moderado"),AND(AG66="Media",AI66="Leve"),AND(AG66="Media",AI66="Menor"),AND(AG66="Media",AI66="Moderado"),AND(AG66="Alta",AI66="Leve"),AND(AG66="Alta",AI66="Menor")),"Moderado",IF(OR(AND(AG66="Muy Baja",AI66="Mayor"),AND(AG66="Baja",AI66="Mayor"),AND(AG66="Media",AI66="Mayor"),AND(AG66="Alta",AI66="Moderado"),AND(AG66="Alta",AI66="Mayor"),AND(AG66="Muy Alta",AI66="Leve"),AND(AG66="Muy Alta",AI66="Menor"),AND(AG66="Muy Alta",AI66="Moderado"),AND(AG66="Muy Alta",AI66="Mayor")),"Alto",IF(OR(AND(AG66="Muy Baja",AI66="Catastrófico"),AND(AG66="Baja",AI66="Catastrófico"),AND(AG66="Media",AI66="Catastrófico"),AND(AG66="Alta",AI66="Catastrófico"),AND(AG66="Muy Alta",AI66="Catastrófico")),"Extremo","")))),"")</f>
        <v/>
      </c>
      <c r="AL66" s="398"/>
      <c r="AM66" s="399"/>
      <c r="AN66" s="399"/>
      <c r="AO66" s="400"/>
      <c r="AP66" s="400"/>
      <c r="AQ66" s="400"/>
      <c r="AR66" s="401"/>
      <c r="AS66" s="401"/>
      <c r="AT66" s="399"/>
      <c r="AU66" s="388"/>
    </row>
    <row r="67" spans="1:47" x14ac:dyDescent="0.25">
      <c r="A67" s="404"/>
      <c r="B67" s="405"/>
      <c r="C67" s="405"/>
      <c r="D67" s="406"/>
      <c r="E67" s="406"/>
      <c r="F67" s="406"/>
      <c r="G67" s="407"/>
      <c r="H67" s="406"/>
      <c r="I67" s="406"/>
      <c r="J67" s="406"/>
      <c r="K67" s="404"/>
      <c r="L67" s="408"/>
      <c r="M67" s="409"/>
      <c r="N67" s="410"/>
      <c r="O67" s="409">
        <f ca="1">IF(NOT(ISERROR(MATCH(N67,_xlfn.ANCHORARRAY(G74),0))),M76&amp;"Por favor no seleccionar los criterios de impacto",N67)</f>
        <v>0</v>
      </c>
      <c r="P67" s="408"/>
      <c r="Q67" s="409"/>
      <c r="R67" s="411"/>
      <c r="S67" s="412">
        <v>4</v>
      </c>
      <c r="T67" s="389"/>
      <c r="U67" s="414"/>
      <c r="V67" s="414"/>
      <c r="W67" s="413" t="str">
        <f t="shared" si="41"/>
        <v/>
      </c>
      <c r="X67" s="414"/>
      <c r="Y67" s="414"/>
      <c r="Z67" s="414"/>
      <c r="AA67" s="415" t="str">
        <f>IFERROR(IF(AND(AB66="Probabilidad",AB67="Probabilidad"),(AH66-(+AH66*W67)),IF(AND(AB66="Impacto",AB67="Probabilidad"),(W66-(+W66*W67)),IF(AB67="Impacto",AB66,""))),"")</f>
        <v/>
      </c>
      <c r="AB67" s="392" t="str">
        <f t="shared" si="42"/>
        <v/>
      </c>
      <c r="AC67" s="393"/>
      <c r="AD67" s="393"/>
      <c r="AE67" s="393"/>
      <c r="AF67" s="394"/>
      <c r="AG67" s="417" t="str">
        <f t="shared" si="43"/>
        <v/>
      </c>
      <c r="AH67" s="416" t="str">
        <f t="shared" si="44"/>
        <v/>
      </c>
      <c r="AI67" s="395" t="str">
        <f t="shared" si="45"/>
        <v/>
      </c>
      <c r="AJ67" s="396" t="str">
        <f>IFERROR(IF(AND(AB66="Impacto",AB67="Impacto"),(AJ66-(+AJ66*W67)),IF(AND(AB66="Probabilidad",AB67="Impacto"),(AJ65-(+AJ65*W67)),IF(AB67="Probabilidad",AJ66,""))),"")</f>
        <v/>
      </c>
      <c r="AK67" s="397" t="str">
        <f t="shared" ref="AK67:AK69" si="46">IFERROR(IF(OR(AND(AG67="Muy Baja",AI67="Leve"),AND(AG67="Muy Baja",AI67="Menor"),AND(AG67="Baja",AI67="Leve")),"Bajo",IF(OR(AND(AG67="Muy baja",AI67="Moderado"),AND(AG67="Baja",AI67="Menor"),AND(AG67="Baja",AI67="Moderado"),AND(AG67="Media",AI67="Leve"),AND(AG67="Media",AI67="Menor"),AND(AG67="Media",AI67="Moderado"),AND(AG67="Alta",AI67="Leve"),AND(AG67="Alta",AI67="Menor")),"Moderado",IF(OR(AND(AG67="Muy Baja",AI67="Mayor"),AND(AG67="Baja",AI67="Mayor"),AND(AG67="Media",AI67="Mayor"),AND(AG67="Alta",AI67="Moderado"),AND(AG67="Alta",AI67="Mayor"),AND(AG67="Muy Alta",AI67="Leve"),AND(AG67="Muy Alta",AI67="Menor"),AND(AG67="Muy Alta",AI67="Moderado"),AND(AG67="Muy Alta",AI67="Mayor")),"Alto",IF(OR(AND(AG67="Muy Baja",AI67="Catastrófico"),AND(AG67="Baja",AI67="Catastrófico"),AND(AG67="Media",AI67="Catastrófico"),AND(AG67="Alta",AI67="Catastrófico"),AND(AG67="Muy Alta",AI67="Catastrófico")),"Extremo","")))),"")</f>
        <v/>
      </c>
      <c r="AL67" s="398"/>
      <c r="AM67" s="399"/>
      <c r="AN67" s="399"/>
      <c r="AO67" s="400"/>
      <c r="AP67" s="400"/>
      <c r="AQ67" s="400"/>
      <c r="AR67" s="401"/>
      <c r="AS67" s="401"/>
      <c r="AT67" s="399"/>
      <c r="AU67" s="388"/>
    </row>
    <row r="68" spans="1:47" x14ac:dyDescent="0.25">
      <c r="A68" s="404"/>
      <c r="B68" s="405"/>
      <c r="C68" s="405"/>
      <c r="D68" s="406"/>
      <c r="E68" s="406"/>
      <c r="F68" s="406"/>
      <c r="G68" s="407"/>
      <c r="H68" s="406"/>
      <c r="I68" s="406"/>
      <c r="J68" s="406"/>
      <c r="K68" s="404"/>
      <c r="L68" s="408"/>
      <c r="M68" s="409"/>
      <c r="N68" s="410"/>
      <c r="O68" s="409">
        <f ca="1">IF(NOT(ISERROR(MATCH(N68,_xlfn.ANCHORARRAY(G75),0))),M77&amp;"Por favor no seleccionar los criterios de impacto",N68)</f>
        <v>0</v>
      </c>
      <c r="P68" s="408"/>
      <c r="Q68" s="409"/>
      <c r="R68" s="411"/>
      <c r="S68" s="412">
        <v>5</v>
      </c>
      <c r="T68" s="389"/>
      <c r="U68" s="414"/>
      <c r="V68" s="414"/>
      <c r="W68" s="413" t="str">
        <f t="shared" si="41"/>
        <v/>
      </c>
      <c r="X68" s="414"/>
      <c r="Y68" s="414"/>
      <c r="Z68" s="414"/>
      <c r="AA68" s="415" t="str">
        <f>IFERROR(IF(AND(AB67="Probabilidad",AB68="Probabilidad"),(AH67-(+AH67*W68)),IF(AND(AB67="Impacto",AB68="Probabilidad"),(W67-(+W67*W68)),IF(AB68="Impacto",AB67,""))),"")</f>
        <v/>
      </c>
      <c r="AB68" s="392" t="str">
        <f t="shared" si="42"/>
        <v/>
      </c>
      <c r="AC68" s="393"/>
      <c r="AD68" s="393"/>
      <c r="AE68" s="393"/>
      <c r="AF68" s="394"/>
      <c r="AG68" s="417" t="str">
        <f t="shared" si="43"/>
        <v/>
      </c>
      <c r="AH68" s="416" t="str">
        <f t="shared" si="44"/>
        <v/>
      </c>
      <c r="AI68" s="395" t="str">
        <f t="shared" si="45"/>
        <v/>
      </c>
      <c r="AJ68" s="396" t="str">
        <f>IFERROR(IF(AND(AB67="Impacto",AB68="Impacto"),(AJ67-(+AJ67*W68)),IF(AND(AB67="Probabilidad",AB68="Impacto"),(AJ66-(+AJ66*W68)),IF(AB68="Probabilidad",AJ67,""))),"")</f>
        <v/>
      </c>
      <c r="AK68" s="397" t="str">
        <f t="shared" si="46"/>
        <v/>
      </c>
      <c r="AL68" s="398"/>
      <c r="AM68" s="399"/>
      <c r="AN68" s="399"/>
      <c r="AO68" s="400"/>
      <c r="AP68" s="400"/>
      <c r="AQ68" s="400"/>
      <c r="AR68" s="401"/>
      <c r="AS68" s="401"/>
      <c r="AT68" s="399"/>
      <c r="AU68" s="388"/>
    </row>
    <row r="69" spans="1:47" x14ac:dyDescent="0.25">
      <c r="A69" s="418"/>
      <c r="B69" s="419"/>
      <c r="C69" s="419"/>
      <c r="D69" s="420"/>
      <c r="E69" s="420"/>
      <c r="F69" s="420"/>
      <c r="G69" s="421"/>
      <c r="H69" s="420"/>
      <c r="I69" s="420"/>
      <c r="J69" s="420"/>
      <c r="K69" s="418"/>
      <c r="L69" s="422"/>
      <c r="M69" s="423"/>
      <c r="N69" s="424"/>
      <c r="O69" s="423">
        <f ca="1">IF(NOT(ISERROR(MATCH(N69,_xlfn.ANCHORARRAY(G76),0))),M78&amp;"Por favor no seleccionar los criterios de impacto",N69)</f>
        <v>0</v>
      </c>
      <c r="P69" s="422"/>
      <c r="Q69" s="423"/>
      <c r="R69" s="425"/>
      <c r="S69" s="412">
        <v>6</v>
      </c>
      <c r="T69" s="389"/>
      <c r="U69" s="414"/>
      <c r="V69" s="414"/>
      <c r="W69" s="413" t="str">
        <f t="shared" si="41"/>
        <v/>
      </c>
      <c r="X69" s="414"/>
      <c r="Y69" s="414"/>
      <c r="Z69" s="414"/>
      <c r="AA69" s="415" t="str">
        <f>IFERROR(IF(AND(AB68="Probabilidad",AB69="Probabilidad"),(AH68-(+AH68*W69)),IF(AND(AB68="Impacto",AB69="Probabilidad"),(W68-(+W68*W69)),IF(AB69="Impacto",AB68,""))),"")</f>
        <v/>
      </c>
      <c r="AB69" s="392" t="str">
        <f t="shared" si="42"/>
        <v/>
      </c>
      <c r="AC69" s="393"/>
      <c r="AD69" s="393"/>
      <c r="AE69" s="393"/>
      <c r="AF69" s="394"/>
      <c r="AG69" s="417" t="str">
        <f t="shared" si="43"/>
        <v/>
      </c>
      <c r="AH69" s="416" t="str">
        <f t="shared" si="44"/>
        <v/>
      </c>
      <c r="AI69" s="395" t="str">
        <f t="shared" si="45"/>
        <v/>
      </c>
      <c r="AJ69" s="396" t="str">
        <f>IFERROR(IF(AND(AB68="Impacto",AB69="Impacto"),(AJ68-(+AJ68*W69)),IF(AND(AB68="Probabilidad",AB69="Impacto"),(AJ67-(+AJ67*W69)),IF(AB69="Probabilidad",AJ68,""))),"")</f>
        <v/>
      </c>
      <c r="AK69" s="397" t="str">
        <f t="shared" si="46"/>
        <v/>
      </c>
      <c r="AL69" s="398"/>
      <c r="AM69" s="399"/>
      <c r="AN69" s="399"/>
      <c r="AO69" s="400"/>
      <c r="AP69" s="400"/>
      <c r="AQ69" s="400"/>
      <c r="AR69" s="401"/>
      <c r="AS69" s="401"/>
      <c r="AT69" s="399"/>
      <c r="AU69" s="388"/>
    </row>
    <row r="70" spans="1:47" ht="75" customHeight="1" x14ac:dyDescent="0.25">
      <c r="A70" s="380">
        <v>12</v>
      </c>
      <c r="B70" s="381" t="s">
        <v>334</v>
      </c>
      <c r="C70" s="381" t="s">
        <v>218</v>
      </c>
      <c r="D70" s="382" t="s">
        <v>130</v>
      </c>
      <c r="E70" s="382" t="s">
        <v>312</v>
      </c>
      <c r="F70" s="382" t="s">
        <v>315</v>
      </c>
      <c r="G70" s="383" t="s">
        <v>363</v>
      </c>
      <c r="H70" s="382" t="s">
        <v>126</v>
      </c>
      <c r="I70" s="382" t="s">
        <v>240</v>
      </c>
      <c r="J70" s="382" t="s">
        <v>314</v>
      </c>
      <c r="K70" s="380" t="s">
        <v>101</v>
      </c>
      <c r="L70" s="384" t="str">
        <f>IF(K70&lt;=0,"",IF(K70&lt;="La actividad que conlleva el riesgo se ejecuta como máximos 2 veces por año","Muy Baja",IF(K70="La actividad que conlleva el riesgo se ejecuta de 3 a 24 veces por año","Baja",IF(K70="La actividad que conlleva el riesgo se ejecuta de 24 a 500 veces por año","Media",IF(K70="La actividad que conlleva el riesgo se ejecuta mínimo 500 veces al año y máximo 5000 veces por año","Alta","Muy Alta")))))</f>
        <v>Baja</v>
      </c>
      <c r="M70" s="385">
        <f>IF(L70="","",IF(L70="Muy Baja",0.2,IF(L70="Baja",0.4,IF(L70="Media",0.6,IF(L70="Alta",0.8,IF(L70="Muy Alta",1,))))))</f>
        <v>0.4</v>
      </c>
      <c r="N70" s="386" t="s">
        <v>149</v>
      </c>
      <c r="O70" s="385" t="str">
        <f ca="1">IF(NOT(ISERROR(MATCH(N70,'Tabla Impacto'!$B$221:$B$223,0))),'Tabla Impacto'!$F$223&amp;"Por favor no seleccionar los criterios de impacto(Afectación Económica o presupuestal y Pérdida Reputacional)",N70)</f>
        <v xml:space="preserve">     El riesgo afecta la imagen de la entidad con algunos usuarios de relevancia frente al logro de los objetivos</v>
      </c>
      <c r="P70" s="384" t="str">
        <f ca="1">IF(OR(O70='Tabla Impacto'!$C$11,O70='Tabla Impacto'!$D$11),"Leve",IF(OR(O70='Tabla Impacto'!$C$12,O70='Tabla Impacto'!$D$12),"Menor",IF(OR(O70='Tabla Impacto'!$C$13,O70='Tabla Impacto'!$D$13),"Moderado",IF(OR(O70='Tabla Impacto'!$C$14,O70='Tabla Impacto'!$D$14),"Mayor",IF(OR(O70='Tabla Impacto'!$C$15,O70='Tabla Impacto'!$D$15),"Catastrófico","")))))</f>
        <v>Moderado</v>
      </c>
      <c r="Q70" s="385">
        <f ca="1">IF(P70="","",IF(P70="Leve",0.2,IF(P70="Menor",0.4,IF(P70="Moderado",0.6,IF(P70="Mayor",0.8,IF(P70="Catastrófico",1,))))))</f>
        <v>0.6</v>
      </c>
      <c r="R70" s="387" t="str">
        <f ca="1">IF(OR(AND(L70="Muy Baja",P70="Leve"),AND(L70="Muy Baja",P70="Menor"),AND(L70="Baja",P70="Leve")),"Bajo",IF(OR(AND(L70="Muy baja",P70="Moderado"),AND(L70="Baja",P70="Menor"),AND(L70="Baja",P70="Moderado"),AND(L70="Media",P70="Leve"),AND(L70="Media",P70="Menor"),AND(L70="Media",P70="Moderado"),AND(L70="Alta",P70="Leve"),AND(L70="Alta",P70="Menor")),"Moderado",IF(OR(AND(L70="Muy Baja",P70="Mayor"),AND(L70="Baja",P70="Mayor"),AND(L70="Media",P70="Mayor"),AND(L70="Alta",P70="Moderado"),AND(L70="Alta",P70="Mayor"),AND(L70="Muy Alta",P70="Leve"),AND(L70="Muy Alta",P70="Menor"),AND(L70="Muy Alta",P70="Moderado"),AND(L70="Muy Alta",P70="Mayor")),"Alto",IF(OR(AND(L70="Muy Baja",P70="Catastrófico"),AND(L70="Baja",P70="Catastrófico"),AND(L70="Media",P70="Catastrófico"),AND(L70="Alta",P70="Catastrófico"),AND(L70="Muy Alta",P70="Catastrófico")),"Extremo",""))))</f>
        <v>Moderado</v>
      </c>
      <c r="S70" s="412">
        <v>1</v>
      </c>
      <c r="T70" s="389" t="s">
        <v>307</v>
      </c>
      <c r="U70" s="390" t="s">
        <v>14</v>
      </c>
      <c r="V70" s="390" t="s">
        <v>10</v>
      </c>
      <c r="W70" s="391" t="str">
        <f>IF(AND(U70="Preventivo",V70="Automático"),"50%",IF(AND(U70="Preventivo",V70="Manual"),"40%",IF(AND(U70="Detectivo",V70="Automático"),"40%",IF(AND(U70="Detectivo",V70="Manual"),"30%",IF(AND(U70="Correctivo",V70="Automático"),"35%",IF(AND(U70="Correctivo",V70="Manual"),"25%",""))))))</f>
        <v>50%</v>
      </c>
      <c r="X70" s="390" t="s">
        <v>19</v>
      </c>
      <c r="Y70" s="390" t="s">
        <v>22</v>
      </c>
      <c r="Z70" s="390" t="s">
        <v>117</v>
      </c>
      <c r="AA70" s="392">
        <f>IFERROR(IF(AB70="Probabilidad",(M70-(+M70*W70)),IF(AB70="Impacto",M70,"")),"")</f>
        <v>0.2</v>
      </c>
      <c r="AB70" s="392" t="str">
        <f t="shared" ref="AB70:AB75" si="47">IF(OR(U70="Preventivo",U70="Detectivo"),"Probabilidad",IF(U70="Correctivo","Impacto",""))</f>
        <v>Probabilidad</v>
      </c>
      <c r="AC70" s="393" t="s">
        <v>308</v>
      </c>
      <c r="AD70" s="393" t="s">
        <v>300</v>
      </c>
      <c r="AE70" s="393" t="s">
        <v>286</v>
      </c>
      <c r="AF70" s="394" t="s">
        <v>248</v>
      </c>
      <c r="AG70" s="417" t="str">
        <f t="shared" ref="AG70:AG75" si="48">IFERROR(IF(AA70="","",IF(AA70&lt;=0.2,"Muy Baja",IF(AA70&lt;=0.4,"Baja",IF(AA70&lt;=0.6,"Media",IF(AA70&lt;=0.8,"Alta","Muy Alta"))))),"")</f>
        <v>Muy Baja</v>
      </c>
      <c r="AH70" s="396">
        <f t="shared" ref="AH70:AH75" si="49">+AA70</f>
        <v>0.2</v>
      </c>
      <c r="AI70" s="395" t="str">
        <f t="shared" ref="AI70:AI75" ca="1" si="50">IFERROR(IF(AJ70="","",IF(AJ70&lt;=0.2,"Leve",IF(AJ70&lt;=0.4,"Menor",IF(AJ70&lt;=0.6,"Moderado",IF(AJ70&lt;=0.8,"Mayor","Catastrófico"))))),"")</f>
        <v>Moderado</v>
      </c>
      <c r="AJ70" s="396">
        <f ca="1">IFERROR(IF(AB70="Impacto",(Q70-(+Q70*W70)),IF(AB70="Probabilidad",Q70,"")),"")</f>
        <v>0.6</v>
      </c>
      <c r="AK70" s="397" t="str">
        <f ca="1">IFERROR(IF(OR(AND(AG70="Muy Baja",AI70="Leve"),AND(AG70="Muy Baja",AI70="Menor"),AND(AG70="Baja",AI70="Leve")),"Bajo",IF(OR(AND(AG70="Muy baja",AI70="Moderado"),AND(AG70="Baja",AI70="Menor"),AND(AG70="Baja",AI70="Moderado"),AND(AG70="Media",AI70="Leve"),AND(AG70="Media",AI70="Menor"),AND(AG70="Media",AI70="Moderado"),AND(AG70="Alta",AI70="Leve"),AND(AG70="Alta",AI70="Menor")),"Moderado",IF(OR(AND(AG70="Muy Baja",AI70="Mayor"),AND(AG70="Baja",AI70="Mayor"),AND(AG70="Media",AI70="Mayor"),AND(AG70="Alta",AI70="Moderado"),AND(AG70="Alta",AI70="Mayor"),AND(AG70="Muy Alta",AI70="Leve"),AND(AG70="Muy Alta",AI70="Menor"),AND(AG70="Muy Alta",AI70="Moderado"),AND(AG70="Muy Alta",AI70="Mayor")),"Alto",IF(OR(AND(AG70="Muy Baja",AI70="Catastrófico"),AND(AG70="Baja",AI70="Catastrófico"),AND(AG70="Media",AI70="Catastrófico"),AND(AG70="Alta",AI70="Catastrófico"),AND(AG70="Muy Alta",AI70="Catastrófico")),"Extremo","")))),"")</f>
        <v>Moderado</v>
      </c>
      <c r="AL70" s="398" t="s">
        <v>132</v>
      </c>
      <c r="AM70" s="399" t="s">
        <v>310</v>
      </c>
      <c r="AN70" s="399" t="s">
        <v>300</v>
      </c>
      <c r="AO70" s="400" t="s">
        <v>530</v>
      </c>
      <c r="AP70" s="400" t="s">
        <v>458</v>
      </c>
      <c r="AQ70" s="400" t="s">
        <v>459</v>
      </c>
      <c r="AR70" s="401">
        <v>44501</v>
      </c>
      <c r="AS70" s="401" t="s">
        <v>311</v>
      </c>
      <c r="AT70" s="399" t="s">
        <v>300</v>
      </c>
      <c r="AU70" s="388" t="s">
        <v>41</v>
      </c>
    </row>
    <row r="71" spans="1:47" ht="78" x14ac:dyDescent="0.25">
      <c r="A71" s="404"/>
      <c r="B71" s="405"/>
      <c r="C71" s="405"/>
      <c r="D71" s="406"/>
      <c r="E71" s="406"/>
      <c r="F71" s="406"/>
      <c r="G71" s="407"/>
      <c r="H71" s="406"/>
      <c r="I71" s="406"/>
      <c r="J71" s="406"/>
      <c r="K71" s="404"/>
      <c r="L71" s="408"/>
      <c r="M71" s="409"/>
      <c r="N71" s="410"/>
      <c r="O71" s="409">
        <f ca="1">IF(NOT(ISERROR(MATCH(N71,_xlfn.ANCHORARRAY(G78),0))),M80&amp;"Por favor no seleccionar los criterios de impacto",N71)</f>
        <v>0</v>
      </c>
      <c r="P71" s="408"/>
      <c r="Q71" s="409"/>
      <c r="R71" s="411"/>
      <c r="S71" s="412">
        <v>2</v>
      </c>
      <c r="T71" s="389" t="s">
        <v>309</v>
      </c>
      <c r="U71" s="414" t="s">
        <v>14</v>
      </c>
      <c r="V71" s="414" t="s">
        <v>10</v>
      </c>
      <c r="W71" s="391" t="str">
        <f t="shared" ref="W71:W75" si="51">IF(AND(U71="Preventivo",V71="Automático"),"50%",IF(AND(U71="Preventivo",V71="Manual"),"40%",IF(AND(U71="Detectivo",V71="Automático"),"40%",IF(AND(U71="Detectivo",V71="Manual"),"30%",IF(AND(U71="Correctivo",V71="Automático"),"35%",IF(AND(U71="Correctivo",V71="Manual"),"25%",""))))))</f>
        <v>50%</v>
      </c>
      <c r="X71" s="390" t="s">
        <v>19</v>
      </c>
      <c r="Y71" s="390" t="s">
        <v>22</v>
      </c>
      <c r="Z71" s="390" t="s">
        <v>117</v>
      </c>
      <c r="AA71" s="392">
        <f>IFERROR(IF(AND(AB70="Probabilidad",AB71="Probabilidad"),(AH70-(+AH70*W71)),IF(AB71="Probabilidad",(M70-(+M70*W71)),IF(AB71="Impacto",AH70,""))),"")</f>
        <v>0.1</v>
      </c>
      <c r="AB71" s="392" t="str">
        <f t="shared" si="47"/>
        <v>Probabilidad</v>
      </c>
      <c r="AC71" s="393" t="s">
        <v>308</v>
      </c>
      <c r="AD71" s="393" t="s">
        <v>300</v>
      </c>
      <c r="AE71" s="393" t="s">
        <v>286</v>
      </c>
      <c r="AF71" s="394" t="s">
        <v>248</v>
      </c>
      <c r="AG71" s="417" t="str">
        <f t="shared" si="48"/>
        <v>Muy Baja</v>
      </c>
      <c r="AH71" s="396">
        <f t="shared" si="49"/>
        <v>0.1</v>
      </c>
      <c r="AI71" s="395" t="str">
        <f t="shared" ca="1" si="50"/>
        <v>Moderado</v>
      </c>
      <c r="AJ71" s="396">
        <f ca="1">IFERROR(IF(AND(AB70="Impacto",AB71="Impacto"),(AJ70-(+AJ70*W71)),IF(AB71="Impacto",($Q$10-(+$Q$10*AB71)),IF(AB71="Probabilidad",AJ70,""))),"")</f>
        <v>0.6</v>
      </c>
      <c r="AK71" s="397" t="str">
        <f ca="1">IFERROR(IF(OR(AND(AG71="Muy Baja",AI71="Leve"),AND(AG71="Muy Baja",AI71="Menor"),AND(AG71="Baja",AI71="Leve")),"Bajo",IF(OR(AND(AG71="Muy baja",AI71="Moderado"),AND(AG71="Baja",AI71="Menor"),AND(AG71="Baja",AI71="Moderado"),AND(AG71="Media",AI71="Leve"),AND(AG71="Media",AI71="Menor"),AND(AG71="Media",AI71="Moderado"),AND(AG71="Alta",AI71="Leve"),AND(AG71="Alta",AI71="Menor")),"Moderado",IF(OR(AND(AG71="Muy Baja",AI71="Mayor"),AND(AG71="Baja",AI71="Mayor"),AND(AG71="Media",AI71="Mayor"),AND(AG71="Alta",AI71="Moderado"),AND(AG71="Alta",AI71="Mayor"),AND(AG71="Muy Alta",AI71="Leve"),AND(AG71="Muy Alta",AI71="Menor"),AND(AG71="Muy Alta",AI71="Moderado"),AND(AG71="Muy Alta",AI71="Mayor")),"Alto",IF(OR(AND(AG71="Muy Baja",AI71="Catastrófico"),AND(AG71="Baja",AI71="Catastrófico"),AND(AG71="Media",AI71="Catastrófico"),AND(AG71="Alta",AI71="Catastrófico"),AND(AG71="Muy Alta",AI71="Catastrófico")),"Extremo","")))),"")</f>
        <v>Moderado</v>
      </c>
      <c r="AL71" s="398" t="s">
        <v>132</v>
      </c>
      <c r="AM71" s="399" t="s">
        <v>310</v>
      </c>
      <c r="AN71" s="399" t="s">
        <v>300</v>
      </c>
      <c r="AO71" s="400" t="s">
        <v>530</v>
      </c>
      <c r="AP71" s="400" t="s">
        <v>458</v>
      </c>
      <c r="AQ71" s="400" t="s">
        <v>459</v>
      </c>
      <c r="AR71" s="401">
        <v>44501</v>
      </c>
      <c r="AS71" s="401" t="s">
        <v>311</v>
      </c>
      <c r="AT71" s="399" t="s">
        <v>300</v>
      </c>
      <c r="AU71" s="388" t="s">
        <v>41</v>
      </c>
    </row>
    <row r="72" spans="1:47" x14ac:dyDescent="0.25">
      <c r="A72" s="404"/>
      <c r="B72" s="405"/>
      <c r="C72" s="405"/>
      <c r="D72" s="406"/>
      <c r="E72" s="406"/>
      <c r="F72" s="406"/>
      <c r="G72" s="407"/>
      <c r="H72" s="406"/>
      <c r="I72" s="406"/>
      <c r="J72" s="406"/>
      <c r="K72" s="404"/>
      <c r="L72" s="408"/>
      <c r="M72" s="409"/>
      <c r="N72" s="410"/>
      <c r="O72" s="409">
        <f ca="1">IF(NOT(ISERROR(MATCH(N72,_xlfn.ANCHORARRAY(G79),0))),M81&amp;"Por favor no seleccionar los criterios de impacto",N72)</f>
        <v>0</v>
      </c>
      <c r="P72" s="408"/>
      <c r="Q72" s="409"/>
      <c r="R72" s="411"/>
      <c r="S72" s="412">
        <v>3</v>
      </c>
      <c r="T72" s="389"/>
      <c r="U72" s="414"/>
      <c r="V72" s="414"/>
      <c r="W72" s="413" t="str">
        <f t="shared" si="51"/>
        <v/>
      </c>
      <c r="X72" s="414"/>
      <c r="Y72" s="414"/>
      <c r="Z72" s="414"/>
      <c r="AA72" s="415" t="str">
        <f>IFERROR(IF(AND(AB71="Probabilidad",AB72="Probabilidad"),(AH71-(+AH71*W72)),IF(AND(AB71="Impacto",AB72="Probabilidad"),(W71-(+W71*W72)),IF(AB72="Impacto",AB71,""))),"")</f>
        <v/>
      </c>
      <c r="AB72" s="392" t="str">
        <f t="shared" si="47"/>
        <v/>
      </c>
      <c r="AC72" s="393"/>
      <c r="AD72" s="393"/>
      <c r="AE72" s="393"/>
      <c r="AF72" s="394"/>
      <c r="AG72" s="417" t="str">
        <f t="shared" si="48"/>
        <v/>
      </c>
      <c r="AH72" s="416" t="str">
        <f t="shared" si="49"/>
        <v/>
      </c>
      <c r="AI72" s="395" t="str">
        <f t="shared" si="50"/>
        <v/>
      </c>
      <c r="AJ72" s="396" t="str">
        <f>IFERROR(IF(AND(AB71="Impacto",AB72="Impacto"),(AJ71-(+AJ71*W72)),IF(AND(AB71="Probabilidad",AB72="Impacto"),(AJ70-(+AJ70*W72)),IF(AB72="Probabilidad",AJ71,""))),"")</f>
        <v/>
      </c>
      <c r="AK72" s="397" t="str">
        <f>IFERROR(IF(OR(AND(AG72="Muy Baja",AI72="Leve"),AND(AG72="Muy Baja",AI72="Menor"),AND(AG72="Baja",AI72="Leve")),"Bajo",IF(OR(AND(AG72="Muy baja",AI72="Moderado"),AND(AG72="Baja",AI72="Menor"),AND(AG72="Baja",AI72="Moderado"),AND(AG72="Media",AI72="Leve"),AND(AG72="Media",AI72="Menor"),AND(AG72="Media",AI72="Moderado"),AND(AG72="Alta",AI72="Leve"),AND(AG72="Alta",AI72="Menor")),"Moderado",IF(OR(AND(AG72="Muy Baja",AI72="Mayor"),AND(AG72="Baja",AI72="Mayor"),AND(AG72="Media",AI72="Mayor"),AND(AG72="Alta",AI72="Moderado"),AND(AG72="Alta",AI72="Mayor"),AND(AG72="Muy Alta",AI72="Leve"),AND(AG72="Muy Alta",AI72="Menor"),AND(AG72="Muy Alta",AI72="Moderado"),AND(AG72="Muy Alta",AI72="Mayor")),"Alto",IF(OR(AND(AG72="Muy Baja",AI72="Catastrófico"),AND(AG72="Baja",AI72="Catastrófico"),AND(AG72="Media",AI72="Catastrófico"),AND(AG72="Alta",AI72="Catastrófico"),AND(AG72="Muy Alta",AI72="Catastrófico")),"Extremo","")))),"")</f>
        <v/>
      </c>
      <c r="AL72" s="398"/>
      <c r="AM72" s="399"/>
      <c r="AN72" s="399"/>
      <c r="AO72" s="400"/>
      <c r="AP72" s="400"/>
      <c r="AQ72" s="400"/>
      <c r="AR72" s="401"/>
      <c r="AS72" s="401"/>
      <c r="AT72" s="399"/>
      <c r="AU72" s="388"/>
    </row>
    <row r="73" spans="1:47" x14ac:dyDescent="0.25">
      <c r="A73" s="404"/>
      <c r="B73" s="405"/>
      <c r="C73" s="405"/>
      <c r="D73" s="406"/>
      <c r="E73" s="406"/>
      <c r="F73" s="406"/>
      <c r="G73" s="407"/>
      <c r="H73" s="406"/>
      <c r="I73" s="406"/>
      <c r="J73" s="406"/>
      <c r="K73" s="404"/>
      <c r="L73" s="408"/>
      <c r="M73" s="409"/>
      <c r="N73" s="410"/>
      <c r="O73" s="409">
        <f ca="1">IF(NOT(ISERROR(MATCH(N73,_xlfn.ANCHORARRAY(G80),0))),#REF!&amp;"Por favor no seleccionar los criterios de impacto",N73)</f>
        <v>0</v>
      </c>
      <c r="P73" s="408"/>
      <c r="Q73" s="409"/>
      <c r="R73" s="411"/>
      <c r="S73" s="412">
        <v>4</v>
      </c>
      <c r="T73" s="389"/>
      <c r="U73" s="414"/>
      <c r="V73" s="414"/>
      <c r="W73" s="413" t="str">
        <f t="shared" si="51"/>
        <v/>
      </c>
      <c r="X73" s="414"/>
      <c r="Y73" s="414"/>
      <c r="Z73" s="414"/>
      <c r="AA73" s="415" t="str">
        <f>IFERROR(IF(AND(AB72="Probabilidad",AB73="Probabilidad"),(AH72-(+AH72*W73)),IF(AND(AB72="Impacto",AB73="Probabilidad"),(W72-(+W72*W73)),IF(AB73="Impacto",AB72,""))),"")</f>
        <v/>
      </c>
      <c r="AB73" s="392" t="str">
        <f t="shared" si="47"/>
        <v/>
      </c>
      <c r="AC73" s="393"/>
      <c r="AD73" s="393"/>
      <c r="AE73" s="393"/>
      <c r="AF73" s="394"/>
      <c r="AG73" s="417" t="str">
        <f t="shared" si="48"/>
        <v/>
      </c>
      <c r="AH73" s="416" t="str">
        <f t="shared" si="49"/>
        <v/>
      </c>
      <c r="AI73" s="395" t="str">
        <f t="shared" si="50"/>
        <v/>
      </c>
      <c r="AJ73" s="396" t="str">
        <f>IFERROR(IF(AND(AB72="Impacto",AB73="Impacto"),(AJ72-(+AJ72*W73)),IF(AND(AB72="Probabilidad",AB73="Impacto"),(AJ71-(+AJ71*W73)),IF(AB73="Probabilidad",AJ72,""))),"")</f>
        <v/>
      </c>
      <c r="AK73" s="397" t="str">
        <f t="shared" ref="AK73:AK75" si="52">IFERROR(IF(OR(AND(AG73="Muy Baja",AI73="Leve"),AND(AG73="Muy Baja",AI73="Menor"),AND(AG73="Baja",AI73="Leve")),"Bajo",IF(OR(AND(AG73="Muy baja",AI73="Moderado"),AND(AG73="Baja",AI73="Menor"),AND(AG73="Baja",AI73="Moderado"),AND(AG73="Media",AI73="Leve"),AND(AG73="Media",AI73="Menor"),AND(AG73="Media",AI73="Moderado"),AND(AG73="Alta",AI73="Leve"),AND(AG73="Alta",AI73="Menor")),"Moderado",IF(OR(AND(AG73="Muy Baja",AI73="Mayor"),AND(AG73="Baja",AI73="Mayor"),AND(AG73="Media",AI73="Mayor"),AND(AG73="Alta",AI73="Moderado"),AND(AG73="Alta",AI73="Mayor"),AND(AG73="Muy Alta",AI73="Leve"),AND(AG73="Muy Alta",AI73="Menor"),AND(AG73="Muy Alta",AI73="Moderado"),AND(AG73="Muy Alta",AI73="Mayor")),"Alto",IF(OR(AND(AG73="Muy Baja",AI73="Catastrófico"),AND(AG73="Baja",AI73="Catastrófico"),AND(AG73="Media",AI73="Catastrófico"),AND(AG73="Alta",AI73="Catastrófico"),AND(AG73="Muy Alta",AI73="Catastrófico")),"Extremo","")))),"")</f>
        <v/>
      </c>
      <c r="AL73" s="398"/>
      <c r="AM73" s="399"/>
      <c r="AN73" s="399"/>
      <c r="AO73" s="400"/>
      <c r="AP73" s="400"/>
      <c r="AQ73" s="400"/>
      <c r="AR73" s="401"/>
      <c r="AS73" s="401"/>
      <c r="AT73" s="399"/>
      <c r="AU73" s="388"/>
    </row>
    <row r="74" spans="1:47" x14ac:dyDescent="0.25">
      <c r="A74" s="404"/>
      <c r="B74" s="405"/>
      <c r="C74" s="405"/>
      <c r="D74" s="406"/>
      <c r="E74" s="406"/>
      <c r="F74" s="406"/>
      <c r="G74" s="407"/>
      <c r="H74" s="406"/>
      <c r="I74" s="406"/>
      <c r="J74" s="406"/>
      <c r="K74" s="404"/>
      <c r="L74" s="408"/>
      <c r="M74" s="409"/>
      <c r="N74" s="410"/>
      <c r="O74" s="409">
        <f ca="1">IF(NOT(ISERROR(MATCH(N74,_xlfn.ANCHORARRAY(G81),0))),#REF!&amp;"Por favor no seleccionar los criterios de impacto",N74)</f>
        <v>0</v>
      </c>
      <c r="P74" s="408"/>
      <c r="Q74" s="409"/>
      <c r="R74" s="411"/>
      <c r="S74" s="412">
        <v>5</v>
      </c>
      <c r="T74" s="389"/>
      <c r="U74" s="414"/>
      <c r="V74" s="414"/>
      <c r="W74" s="413" t="str">
        <f t="shared" si="51"/>
        <v/>
      </c>
      <c r="X74" s="414"/>
      <c r="Y74" s="414"/>
      <c r="Z74" s="414"/>
      <c r="AA74" s="415" t="str">
        <f>IFERROR(IF(AND(AB73="Probabilidad",AB74="Probabilidad"),(AH73-(+AH73*W74)),IF(AND(AB73="Impacto",AB74="Probabilidad"),(W73-(+W73*W74)),IF(AB74="Impacto",AB73,""))),"")</f>
        <v/>
      </c>
      <c r="AB74" s="392" t="str">
        <f t="shared" si="47"/>
        <v/>
      </c>
      <c r="AC74" s="393"/>
      <c r="AD74" s="393"/>
      <c r="AE74" s="393"/>
      <c r="AF74" s="394"/>
      <c r="AG74" s="417" t="str">
        <f t="shared" si="48"/>
        <v/>
      </c>
      <c r="AH74" s="416" t="str">
        <f t="shared" si="49"/>
        <v/>
      </c>
      <c r="AI74" s="395" t="str">
        <f t="shared" si="50"/>
        <v/>
      </c>
      <c r="AJ74" s="396" t="str">
        <f>IFERROR(IF(AND(AB73="Impacto",AB74="Impacto"),(AJ73-(+AJ73*W74)),IF(AND(AB73="Probabilidad",AB74="Impacto"),(AJ72-(+AJ72*W74)),IF(AB74="Probabilidad",AJ73,""))),"")</f>
        <v/>
      </c>
      <c r="AK74" s="397" t="str">
        <f t="shared" si="52"/>
        <v/>
      </c>
      <c r="AL74" s="398"/>
      <c r="AM74" s="399"/>
      <c r="AN74" s="399"/>
      <c r="AO74" s="400"/>
      <c r="AP74" s="400"/>
      <c r="AQ74" s="400"/>
      <c r="AR74" s="401"/>
      <c r="AS74" s="401"/>
      <c r="AT74" s="399"/>
      <c r="AU74" s="388"/>
    </row>
    <row r="75" spans="1:47" x14ac:dyDescent="0.25">
      <c r="A75" s="418"/>
      <c r="B75" s="419"/>
      <c r="C75" s="419"/>
      <c r="D75" s="420"/>
      <c r="E75" s="420"/>
      <c r="F75" s="420"/>
      <c r="G75" s="421"/>
      <c r="H75" s="420"/>
      <c r="I75" s="420"/>
      <c r="J75" s="420"/>
      <c r="K75" s="418"/>
      <c r="L75" s="422"/>
      <c r="M75" s="423"/>
      <c r="N75" s="424"/>
      <c r="O75" s="423">
        <f ca="1">IF(NOT(ISERROR(MATCH(N75,_xlfn.ANCHORARRAY(#REF!),0))),#REF!&amp;"Por favor no seleccionar los criterios de impacto",N75)</f>
        <v>0</v>
      </c>
      <c r="P75" s="422"/>
      <c r="Q75" s="423"/>
      <c r="R75" s="425"/>
      <c r="S75" s="412">
        <v>6</v>
      </c>
      <c r="T75" s="389"/>
      <c r="U75" s="414"/>
      <c r="V75" s="414"/>
      <c r="W75" s="413" t="str">
        <f t="shared" si="51"/>
        <v/>
      </c>
      <c r="X75" s="414"/>
      <c r="Y75" s="414"/>
      <c r="Z75" s="414"/>
      <c r="AA75" s="415" t="str">
        <f>IFERROR(IF(AND(AB74="Probabilidad",AB75="Probabilidad"),(AH74-(+AH74*W75)),IF(AND(AB74="Impacto",AB75="Probabilidad"),(W74-(+W74*W75)),IF(AB75="Impacto",AB74,""))),"")</f>
        <v/>
      </c>
      <c r="AB75" s="392" t="str">
        <f t="shared" si="47"/>
        <v/>
      </c>
      <c r="AC75" s="393"/>
      <c r="AD75" s="393"/>
      <c r="AE75" s="393"/>
      <c r="AF75" s="394"/>
      <c r="AG75" s="417" t="str">
        <f t="shared" si="48"/>
        <v/>
      </c>
      <c r="AH75" s="416" t="str">
        <f t="shared" si="49"/>
        <v/>
      </c>
      <c r="AI75" s="395" t="str">
        <f t="shared" si="50"/>
        <v/>
      </c>
      <c r="AJ75" s="396" t="str">
        <f>IFERROR(IF(AND(AB74="Impacto",AB75="Impacto"),(AJ74-(+AJ74*W75)),IF(AND(AB74="Probabilidad",AB75="Impacto"),(AJ73-(+AJ73*W75)),IF(AB75="Probabilidad",AJ74,""))),"")</f>
        <v/>
      </c>
      <c r="AK75" s="397" t="str">
        <f t="shared" si="52"/>
        <v/>
      </c>
      <c r="AL75" s="398"/>
      <c r="AM75" s="399"/>
      <c r="AN75" s="399"/>
      <c r="AO75" s="400"/>
      <c r="AP75" s="400"/>
      <c r="AQ75" s="400"/>
      <c r="AR75" s="401"/>
      <c r="AS75" s="401"/>
      <c r="AT75" s="399"/>
      <c r="AU75" s="388"/>
    </row>
    <row r="76" spans="1:47" ht="75" customHeight="1" x14ac:dyDescent="0.25">
      <c r="A76" s="380">
        <v>13</v>
      </c>
      <c r="B76" s="381" t="s">
        <v>362</v>
      </c>
      <c r="C76" s="381" t="s">
        <v>218</v>
      </c>
      <c r="D76" s="382" t="s">
        <v>130</v>
      </c>
      <c r="E76" s="382" t="s">
        <v>312</v>
      </c>
      <c r="F76" s="382" t="s">
        <v>315</v>
      </c>
      <c r="G76" s="383" t="s">
        <v>313</v>
      </c>
      <c r="H76" s="382" t="s">
        <v>126</v>
      </c>
      <c r="I76" s="382" t="s">
        <v>240</v>
      </c>
      <c r="J76" s="382" t="s">
        <v>314</v>
      </c>
      <c r="K76" s="380" t="s">
        <v>101</v>
      </c>
      <c r="L76" s="384" t="str">
        <f>IF(K76&lt;=0,"",IF(K76&lt;="La actividad que conlleva el riesgo se ejecuta como máximos 2 veces por año","Muy Baja",IF(K76="La actividad que conlleva el riesgo se ejecuta de 3 a 24 veces por año","Baja",IF(K76="La actividad que conlleva el riesgo se ejecuta de 24 a 500 veces por año","Media",IF(K76="La actividad que conlleva el riesgo se ejecuta mínimo 500 veces al año y máximo 5000 veces por año","Alta","Muy Alta")))))</f>
        <v>Baja</v>
      </c>
      <c r="M76" s="385">
        <f>IF(L76="","",IF(L76="Muy Baja",0.2,IF(L76="Baja",0.4,IF(L76="Media",0.6,IF(L76="Alta",0.8,IF(L76="Muy Alta",1,))))))</f>
        <v>0.4</v>
      </c>
      <c r="N76" s="386" t="s">
        <v>149</v>
      </c>
      <c r="O76" s="385" t="str">
        <f ca="1">IF(NOT(ISERROR(MATCH(N76,'Tabla Impacto'!$B$221:$B$223,0))),'Tabla Impacto'!$F$223&amp;"Por favor no seleccionar los criterios de impacto(Afectación Económica o presupuestal y Pérdida Reputacional)",N76)</f>
        <v xml:space="preserve">     El riesgo afecta la imagen de la entidad con algunos usuarios de relevancia frente al logro de los objetivos</v>
      </c>
      <c r="P76" s="384" t="str">
        <f ca="1">IF(OR(O76='Tabla Impacto'!$C$11,O76='Tabla Impacto'!$D$11),"Leve",IF(OR(O76='Tabla Impacto'!$C$12,O76='Tabla Impacto'!$D$12),"Menor",IF(OR(O76='Tabla Impacto'!$C$13,O76='Tabla Impacto'!$D$13),"Moderado",IF(OR(O76='Tabla Impacto'!$C$14,O76='Tabla Impacto'!$D$14),"Mayor",IF(OR(O76='Tabla Impacto'!$C$15,O76='Tabla Impacto'!$D$15),"Catastrófico","")))))</f>
        <v>Moderado</v>
      </c>
      <c r="Q76" s="385">
        <f ca="1">IF(P76="","",IF(P76="Leve",0.2,IF(P76="Menor",0.4,IF(P76="Moderado",0.6,IF(P76="Mayor",0.8,IF(P76="Catastrófico",1,))))))</f>
        <v>0.6</v>
      </c>
      <c r="R76" s="387" t="str">
        <f ca="1">IF(OR(AND(L76="Muy Baja",P76="Leve"),AND(L76="Muy Baja",P76="Menor"),AND(L76="Baja",P76="Leve")),"Bajo",IF(OR(AND(L76="Muy baja",P76="Moderado"),AND(L76="Baja",P76="Menor"),AND(L76="Baja",P76="Moderado"),AND(L76="Media",P76="Leve"),AND(L76="Media",P76="Menor"),AND(L76="Media",P76="Moderado"),AND(L76="Alta",P76="Leve"),AND(L76="Alta",P76="Menor")),"Moderado",IF(OR(AND(L76="Muy Baja",P76="Mayor"),AND(L76="Baja",P76="Mayor"),AND(L76="Media",P76="Mayor"),AND(L76="Alta",P76="Moderado"),AND(L76="Alta",P76="Mayor"),AND(L76="Muy Alta",P76="Leve"),AND(L76="Muy Alta",P76="Menor"),AND(L76="Muy Alta",P76="Moderado"),AND(L76="Muy Alta",P76="Mayor")),"Alto",IF(OR(AND(L76="Muy Baja",P76="Catastrófico"),AND(L76="Baja",P76="Catastrófico"),AND(L76="Media",P76="Catastrófico"),AND(L76="Alta",P76="Catastrófico"),AND(L76="Muy Alta",P76="Catastrófico")),"Extremo",""))))</f>
        <v>Moderado</v>
      </c>
      <c r="S76" s="412">
        <v>1</v>
      </c>
      <c r="T76" s="389" t="s">
        <v>307</v>
      </c>
      <c r="U76" s="390" t="s">
        <v>14</v>
      </c>
      <c r="V76" s="390" t="s">
        <v>10</v>
      </c>
      <c r="W76" s="391" t="str">
        <f>IF(AND(U76="Preventivo",V76="Automático"),"50%",IF(AND(U76="Preventivo",V76="Manual"),"40%",IF(AND(U76="Detectivo",V76="Automático"),"40%",IF(AND(U76="Detectivo",V76="Manual"),"30%",IF(AND(U76="Correctivo",V76="Automático"),"35%",IF(AND(U76="Correctivo",V76="Manual"),"25%",""))))))</f>
        <v>50%</v>
      </c>
      <c r="X76" s="390" t="s">
        <v>19</v>
      </c>
      <c r="Y76" s="390" t="s">
        <v>22</v>
      </c>
      <c r="Z76" s="390" t="s">
        <v>117</v>
      </c>
      <c r="AA76" s="392">
        <f>IFERROR(IF(AB76="Probabilidad",(M76-(+M76*W76)),IF(AB76="Impacto",M76,"")),"")</f>
        <v>0.2</v>
      </c>
      <c r="AB76" s="392" t="str">
        <f t="shared" ref="AB76:AB81" si="53">IF(OR(U76="Preventivo",U76="Detectivo"),"Probabilidad",IF(U76="Correctivo","Impacto",""))</f>
        <v>Probabilidad</v>
      </c>
      <c r="AC76" s="393" t="s">
        <v>308</v>
      </c>
      <c r="AD76" s="393" t="s">
        <v>300</v>
      </c>
      <c r="AE76" s="393" t="s">
        <v>286</v>
      </c>
      <c r="AF76" s="394" t="s">
        <v>248</v>
      </c>
      <c r="AG76" s="417" t="str">
        <f t="shared" ref="AG76:AG81" si="54">IFERROR(IF(AA76="","",IF(AA76&lt;=0.2,"Muy Baja",IF(AA76&lt;=0.4,"Baja",IF(AA76&lt;=0.6,"Media",IF(AA76&lt;=0.8,"Alta","Muy Alta"))))),"")</f>
        <v>Muy Baja</v>
      </c>
      <c r="AH76" s="416">
        <f t="shared" ref="AH76:AH81" si="55">+AA76</f>
        <v>0.2</v>
      </c>
      <c r="AI76" s="395" t="str">
        <f t="shared" ref="AI76:AI81" ca="1" si="56">IFERROR(IF(AJ76="","",IF(AJ76&lt;=0.2,"Leve",IF(AJ76&lt;=0.4,"Menor",IF(AJ76&lt;=0.6,"Moderado",IF(AJ76&lt;=0.8,"Mayor","Catastrófico"))))),"")</f>
        <v>Moderado</v>
      </c>
      <c r="AJ76" s="396">
        <f ca="1">IFERROR(IF(AB76="Impacto",(Q76-(+Q76*W76)),IF(AB76="Probabilidad",Q76,"")),"")</f>
        <v>0.6</v>
      </c>
      <c r="AK76" s="397" t="str">
        <f ca="1">IFERROR(IF(OR(AND(AG76="Muy Baja",AI76="Leve"),AND(AG76="Muy Baja",AI76="Menor"),AND(AG76="Baja",AI76="Leve")),"Bajo",IF(OR(AND(AG76="Muy baja",AI76="Moderado"),AND(AG76="Baja",AI76="Menor"),AND(AG76="Baja",AI76="Moderado"),AND(AG76="Media",AI76="Leve"),AND(AG76="Media",AI76="Menor"),AND(AG76="Media",AI76="Moderado"),AND(AG76="Alta",AI76="Leve"),AND(AG76="Alta",AI76="Menor")),"Moderado",IF(OR(AND(AG76="Muy Baja",AI76="Mayor"),AND(AG76="Baja",AI76="Mayor"),AND(AG76="Media",AI76="Mayor"),AND(AG76="Alta",AI76="Moderado"),AND(AG76="Alta",AI76="Mayor"),AND(AG76="Muy Alta",AI76="Leve"),AND(AG76="Muy Alta",AI76="Menor"),AND(AG76="Muy Alta",AI76="Moderado"),AND(AG76="Muy Alta",AI76="Mayor")),"Alto",IF(OR(AND(AG76="Muy Baja",AI76="Catastrófico"),AND(AG76="Baja",AI76="Catastrófico"),AND(AG76="Media",AI76="Catastrófico"),AND(AG76="Alta",AI76="Catastrófico"),AND(AG76="Muy Alta",AI76="Catastrófico")),"Extremo","")))),"")</f>
        <v>Moderado</v>
      </c>
      <c r="AL76" s="398" t="s">
        <v>132</v>
      </c>
      <c r="AM76" s="399" t="s">
        <v>310</v>
      </c>
      <c r="AN76" s="399" t="s">
        <v>300</v>
      </c>
      <c r="AO76" s="400" t="s">
        <v>530</v>
      </c>
      <c r="AP76" s="400" t="s">
        <v>458</v>
      </c>
      <c r="AQ76" s="400" t="s">
        <v>459</v>
      </c>
      <c r="AR76" s="401">
        <v>44501</v>
      </c>
      <c r="AS76" s="401" t="s">
        <v>311</v>
      </c>
      <c r="AT76" s="399" t="s">
        <v>300</v>
      </c>
      <c r="AU76" s="388" t="s">
        <v>41</v>
      </c>
    </row>
    <row r="77" spans="1:47" ht="78" x14ac:dyDescent="0.25">
      <c r="A77" s="404"/>
      <c r="B77" s="405"/>
      <c r="C77" s="405"/>
      <c r="D77" s="406"/>
      <c r="E77" s="406"/>
      <c r="F77" s="406"/>
      <c r="G77" s="407"/>
      <c r="H77" s="406"/>
      <c r="I77" s="406"/>
      <c r="J77" s="406"/>
      <c r="K77" s="404"/>
      <c r="L77" s="408"/>
      <c r="M77" s="409"/>
      <c r="N77" s="410"/>
      <c r="O77" s="409">
        <f ca="1">IF(NOT(ISERROR(MATCH(N77,_xlfn.ANCHORARRAY(#REF!),0))),#REF!&amp;"Por favor no seleccionar los criterios de impacto",N77)</f>
        <v>0</v>
      </c>
      <c r="P77" s="408"/>
      <c r="Q77" s="409"/>
      <c r="R77" s="411"/>
      <c r="S77" s="412">
        <v>2</v>
      </c>
      <c r="T77" s="389" t="s">
        <v>309</v>
      </c>
      <c r="U77" s="414" t="s">
        <v>14</v>
      </c>
      <c r="V77" s="414" t="s">
        <v>10</v>
      </c>
      <c r="W77" s="391" t="str">
        <f t="shared" ref="W77:W81" si="57">IF(AND(U77="Preventivo",V77="Automático"),"50%",IF(AND(U77="Preventivo",V77="Manual"),"40%",IF(AND(U77="Detectivo",V77="Automático"),"40%",IF(AND(U77="Detectivo",V77="Manual"),"30%",IF(AND(U77="Correctivo",V77="Automático"),"35%",IF(AND(U77="Correctivo",V77="Manual"),"25%",""))))))</f>
        <v>50%</v>
      </c>
      <c r="X77" s="414" t="s">
        <v>19</v>
      </c>
      <c r="Y77" s="414" t="s">
        <v>22</v>
      </c>
      <c r="Z77" s="414" t="s">
        <v>117</v>
      </c>
      <c r="AA77" s="392">
        <f>IFERROR(IF(AND(AB76="Probabilidad",AB77="Probabilidad"),(AH76-(+AH76*W77)),IF(AB77="Probabilidad",(M76-(+M76*W77)),IF(AB77="Impacto",AH76,""))),"")</f>
        <v>0.1</v>
      </c>
      <c r="AB77" s="392" t="str">
        <f t="shared" si="53"/>
        <v>Probabilidad</v>
      </c>
      <c r="AC77" s="393" t="s">
        <v>308</v>
      </c>
      <c r="AD77" s="393" t="s">
        <v>300</v>
      </c>
      <c r="AE77" s="393" t="s">
        <v>286</v>
      </c>
      <c r="AF77" s="394" t="s">
        <v>248</v>
      </c>
      <c r="AG77" s="417" t="str">
        <f t="shared" si="54"/>
        <v>Muy Baja</v>
      </c>
      <c r="AH77" s="416">
        <f t="shared" si="55"/>
        <v>0.1</v>
      </c>
      <c r="AI77" s="395" t="str">
        <f t="shared" ca="1" si="56"/>
        <v>Moderado</v>
      </c>
      <c r="AJ77" s="396">
        <f ca="1">IFERROR(IF(AND(AB76="Impacto",AB77="Impacto"),(AJ76-(+AJ76*W77)),IF(AB77="Impacto",($Q$10-(+$Q$10*AB77)),IF(AB77="Probabilidad",AJ76,""))),"")</f>
        <v>0.6</v>
      </c>
      <c r="AK77" s="397" t="str">
        <f ca="1">IFERROR(IF(OR(AND(AG77="Muy Baja",AI77="Leve"),AND(AG77="Muy Baja",AI77="Menor"),AND(AG77="Baja",AI77="Leve")),"Bajo",IF(OR(AND(AG77="Muy baja",AI77="Moderado"),AND(AG77="Baja",AI77="Menor"),AND(AG77="Baja",AI77="Moderado"),AND(AG77="Media",AI77="Leve"),AND(AG77="Media",AI77="Menor"),AND(AG77="Media",AI77="Moderado"),AND(AG77="Alta",AI77="Leve"),AND(AG77="Alta",AI77="Menor")),"Moderado",IF(OR(AND(AG77="Muy Baja",AI77="Mayor"),AND(AG77="Baja",AI77="Mayor"),AND(AG77="Media",AI77="Mayor"),AND(AG77="Alta",AI77="Moderado"),AND(AG77="Alta",AI77="Mayor"),AND(AG77="Muy Alta",AI77="Leve"),AND(AG77="Muy Alta",AI77="Menor"),AND(AG77="Muy Alta",AI77="Moderado"),AND(AG77="Muy Alta",AI77="Mayor")),"Alto",IF(OR(AND(AG77="Muy Baja",AI77="Catastrófico"),AND(AG77="Baja",AI77="Catastrófico"),AND(AG77="Media",AI77="Catastrófico"),AND(AG77="Alta",AI77="Catastrófico"),AND(AG77="Muy Alta",AI77="Catastrófico")),"Extremo","")))),"")</f>
        <v>Moderado</v>
      </c>
      <c r="AL77" s="398" t="s">
        <v>132</v>
      </c>
      <c r="AM77" s="399" t="s">
        <v>310</v>
      </c>
      <c r="AN77" s="399" t="s">
        <v>300</v>
      </c>
      <c r="AO77" s="400" t="s">
        <v>530</v>
      </c>
      <c r="AP77" s="400" t="s">
        <v>458</v>
      </c>
      <c r="AQ77" s="400" t="s">
        <v>459</v>
      </c>
      <c r="AR77" s="401">
        <v>44501</v>
      </c>
      <c r="AS77" s="401" t="s">
        <v>311</v>
      </c>
      <c r="AT77" s="399" t="s">
        <v>300</v>
      </c>
      <c r="AU77" s="388" t="s">
        <v>41</v>
      </c>
    </row>
    <row r="78" spans="1:47" ht="67.5" x14ac:dyDescent="0.25">
      <c r="A78" s="404"/>
      <c r="B78" s="405"/>
      <c r="C78" s="405"/>
      <c r="D78" s="406"/>
      <c r="E78" s="406"/>
      <c r="F78" s="406"/>
      <c r="G78" s="407"/>
      <c r="H78" s="406"/>
      <c r="I78" s="406"/>
      <c r="J78" s="406"/>
      <c r="K78" s="404"/>
      <c r="L78" s="408"/>
      <c r="M78" s="409"/>
      <c r="N78" s="410"/>
      <c r="O78" s="409">
        <f ca="1">IF(NOT(ISERROR(MATCH(N78,_xlfn.ANCHORARRAY(#REF!),0))),#REF!&amp;"Por favor no seleccionar los criterios de impacto",N78)</f>
        <v>0</v>
      </c>
      <c r="P78" s="408"/>
      <c r="Q78" s="409"/>
      <c r="R78" s="411"/>
      <c r="S78" s="412">
        <v>3</v>
      </c>
      <c r="T78" s="389" t="s">
        <v>534</v>
      </c>
      <c r="U78" s="414" t="s">
        <v>14</v>
      </c>
      <c r="V78" s="414" t="s">
        <v>9</v>
      </c>
      <c r="W78" s="413" t="str">
        <f t="shared" si="57"/>
        <v>40%</v>
      </c>
      <c r="X78" s="414" t="s">
        <v>19</v>
      </c>
      <c r="Y78" s="414" t="s">
        <v>22</v>
      </c>
      <c r="Z78" s="414" t="s">
        <v>117</v>
      </c>
      <c r="AA78" s="415">
        <f>IFERROR(IF(AND(AB77="Probabilidad",AB78="Probabilidad"),(AH77-(+AH77*W78)),IF(AND(AB77="Impacto",AB78="Probabilidad"),(W77-(+W77*W78)),IF(AB78="Impacto",AB77,""))),"")</f>
        <v>0.06</v>
      </c>
      <c r="AB78" s="392" t="str">
        <f t="shared" si="53"/>
        <v>Probabilidad</v>
      </c>
      <c r="AC78" s="393" t="s">
        <v>535</v>
      </c>
      <c r="AD78" s="393" t="s">
        <v>319</v>
      </c>
      <c r="AE78" s="393" t="s">
        <v>286</v>
      </c>
      <c r="AF78" s="394" t="s">
        <v>248</v>
      </c>
      <c r="AG78" s="417" t="str">
        <f t="shared" si="54"/>
        <v>Muy Baja</v>
      </c>
      <c r="AH78" s="416">
        <f t="shared" si="55"/>
        <v>0.06</v>
      </c>
      <c r="AI78" s="395" t="str">
        <f t="shared" ca="1" si="56"/>
        <v>Moderado</v>
      </c>
      <c r="AJ78" s="396">
        <f ca="1">IFERROR(IF(AND(AB77="Impacto",AB78="Impacto"),(AJ77-(+AJ77*W78)),IF(AND(AB77="Probabilidad",AB78="Impacto"),(AJ76-(+AJ76*W78)),IF(AB78="Probabilidad",AJ77,""))),"")</f>
        <v>0.6</v>
      </c>
      <c r="AK78" s="397" t="str">
        <f ca="1">IFERROR(IF(OR(AND(AG78="Muy Baja",AI78="Leve"),AND(AG78="Muy Baja",AI78="Menor"),AND(AG78="Baja",AI78="Leve")),"Bajo",IF(OR(AND(AG78="Muy baja",AI78="Moderado"),AND(AG78="Baja",AI78="Menor"),AND(AG78="Baja",AI78="Moderado"),AND(AG78="Media",AI78="Leve"),AND(AG78="Media",AI78="Menor"),AND(AG78="Media",AI78="Moderado"),AND(AG78="Alta",AI78="Leve"),AND(AG78="Alta",AI78="Menor")),"Moderado",IF(OR(AND(AG78="Muy Baja",AI78="Mayor"),AND(AG78="Baja",AI78="Mayor"),AND(AG78="Media",AI78="Mayor"),AND(AG78="Alta",AI78="Moderado"),AND(AG78="Alta",AI78="Mayor"),AND(AG78="Muy Alta",AI78="Leve"),AND(AG78="Muy Alta",AI78="Menor"),AND(AG78="Muy Alta",AI78="Moderado"),AND(AG78="Muy Alta",AI78="Mayor")),"Alto",IF(OR(AND(AG78="Muy Baja",AI78="Catastrófico"),AND(AG78="Baja",AI78="Catastrófico"),AND(AG78="Media",AI78="Catastrófico"),AND(AG78="Alta",AI78="Catastrófico"),AND(AG78="Muy Alta",AI78="Catastrófico")),"Extremo","")))),"")</f>
        <v>Moderado</v>
      </c>
      <c r="AL78" s="398" t="s">
        <v>31</v>
      </c>
      <c r="AM78" s="399"/>
      <c r="AN78" s="399"/>
      <c r="AO78" s="400"/>
      <c r="AP78" s="400"/>
      <c r="AQ78" s="400"/>
      <c r="AR78" s="401"/>
      <c r="AS78" s="401"/>
      <c r="AT78" s="399"/>
      <c r="AU78" s="388"/>
    </row>
    <row r="79" spans="1:47" ht="78.75" x14ac:dyDescent="0.25">
      <c r="A79" s="404"/>
      <c r="B79" s="405"/>
      <c r="C79" s="405"/>
      <c r="D79" s="406"/>
      <c r="E79" s="406"/>
      <c r="F79" s="406"/>
      <c r="G79" s="407"/>
      <c r="H79" s="406"/>
      <c r="I79" s="406"/>
      <c r="J79" s="406"/>
      <c r="K79" s="404"/>
      <c r="L79" s="408"/>
      <c r="M79" s="409"/>
      <c r="N79" s="410"/>
      <c r="O79" s="409">
        <f ca="1">IF(NOT(ISERROR(MATCH(N79,_xlfn.ANCHORARRAY(#REF!),0))),#REF!&amp;"Por favor no seleccionar los criterios de impacto",N79)</f>
        <v>0</v>
      </c>
      <c r="P79" s="408"/>
      <c r="Q79" s="409"/>
      <c r="R79" s="411"/>
      <c r="S79" s="412">
        <v>4</v>
      </c>
      <c r="T79" s="389" t="s">
        <v>536</v>
      </c>
      <c r="U79" s="414" t="s">
        <v>14</v>
      </c>
      <c r="V79" s="414" t="s">
        <v>9</v>
      </c>
      <c r="W79" s="413" t="str">
        <f t="shared" si="57"/>
        <v>40%</v>
      </c>
      <c r="X79" s="414" t="s">
        <v>19</v>
      </c>
      <c r="Y79" s="414" t="s">
        <v>22</v>
      </c>
      <c r="Z79" s="414" t="s">
        <v>117</v>
      </c>
      <c r="AA79" s="415">
        <f>IFERROR(IF(AND(AB78="Probabilidad",AB79="Probabilidad"),(AH78-(+AH78*W79)),IF(AND(AB78="Impacto",AB79="Probabilidad"),(W78-(+W78*W79)),IF(AB79="Impacto",AB78,""))),"")</f>
        <v>3.5999999999999997E-2</v>
      </c>
      <c r="AB79" s="392" t="str">
        <f t="shared" si="53"/>
        <v>Probabilidad</v>
      </c>
      <c r="AC79" s="393" t="s">
        <v>537</v>
      </c>
      <c r="AD79" s="393" t="s">
        <v>319</v>
      </c>
      <c r="AE79" s="393" t="s">
        <v>286</v>
      </c>
      <c r="AF79" s="394" t="s">
        <v>248</v>
      </c>
      <c r="AG79" s="417" t="str">
        <f t="shared" si="54"/>
        <v>Muy Baja</v>
      </c>
      <c r="AH79" s="416">
        <f t="shared" si="55"/>
        <v>3.5999999999999997E-2</v>
      </c>
      <c r="AI79" s="395" t="str">
        <f t="shared" ca="1" si="56"/>
        <v>Moderado</v>
      </c>
      <c r="AJ79" s="396">
        <f ca="1">IFERROR(IF(AND(AB78="Impacto",AB79="Impacto"),(AJ78-(+AJ78*W79)),IF(AND(AB78="Probabilidad",AB79="Impacto"),(AJ77-(+AJ77*W79)),IF(AB79="Probabilidad",AJ78,""))),"")</f>
        <v>0.6</v>
      </c>
      <c r="AK79" s="397" t="str">
        <f t="shared" ref="AK79:AK81" ca="1" si="58">IFERROR(IF(OR(AND(AG79="Muy Baja",AI79="Leve"),AND(AG79="Muy Baja",AI79="Menor"),AND(AG79="Baja",AI79="Leve")),"Bajo",IF(OR(AND(AG79="Muy baja",AI79="Moderado"),AND(AG79="Baja",AI79="Menor"),AND(AG79="Baja",AI79="Moderado"),AND(AG79="Media",AI79="Leve"),AND(AG79="Media",AI79="Menor"),AND(AG79="Media",AI79="Moderado"),AND(AG79="Alta",AI79="Leve"),AND(AG79="Alta",AI79="Menor")),"Moderado",IF(OR(AND(AG79="Muy Baja",AI79="Mayor"),AND(AG79="Baja",AI79="Mayor"),AND(AG79="Media",AI79="Mayor"),AND(AG79="Alta",AI79="Moderado"),AND(AG79="Alta",AI79="Mayor"),AND(AG79="Muy Alta",AI79="Leve"),AND(AG79="Muy Alta",AI79="Menor"),AND(AG79="Muy Alta",AI79="Moderado"),AND(AG79="Muy Alta",AI79="Mayor")),"Alto",IF(OR(AND(AG79="Muy Baja",AI79="Catastrófico"),AND(AG79="Baja",AI79="Catastrófico"),AND(AG79="Media",AI79="Catastrófico"),AND(AG79="Alta",AI79="Catastrófico"),AND(AG79="Muy Alta",AI79="Catastrófico")),"Extremo","")))),"")</f>
        <v>Moderado</v>
      </c>
      <c r="AL79" s="398" t="s">
        <v>31</v>
      </c>
      <c r="AM79" s="399"/>
      <c r="AN79" s="399"/>
      <c r="AO79" s="400"/>
      <c r="AP79" s="400"/>
      <c r="AQ79" s="400"/>
      <c r="AR79" s="401"/>
      <c r="AS79" s="401"/>
      <c r="AT79" s="399"/>
      <c r="AU79" s="388"/>
    </row>
    <row r="80" spans="1:47" x14ac:dyDescent="0.25">
      <c r="A80" s="404"/>
      <c r="B80" s="405"/>
      <c r="C80" s="405"/>
      <c r="D80" s="406"/>
      <c r="E80" s="406"/>
      <c r="F80" s="406"/>
      <c r="G80" s="407"/>
      <c r="H80" s="406"/>
      <c r="I80" s="406"/>
      <c r="J80" s="406"/>
      <c r="K80" s="404"/>
      <c r="L80" s="408"/>
      <c r="M80" s="409"/>
      <c r="N80" s="410"/>
      <c r="O80" s="409">
        <f ca="1">IF(NOT(ISERROR(MATCH(N80,_xlfn.ANCHORARRAY(#REF!),0))),#REF!&amp;"Por favor no seleccionar los criterios de impacto",N80)</f>
        <v>0</v>
      </c>
      <c r="P80" s="408"/>
      <c r="Q80" s="409"/>
      <c r="R80" s="411"/>
      <c r="S80" s="412">
        <v>5</v>
      </c>
      <c r="T80" s="389"/>
      <c r="U80" s="414"/>
      <c r="V80" s="414"/>
      <c r="W80" s="413" t="str">
        <f t="shared" si="57"/>
        <v/>
      </c>
      <c r="X80" s="414"/>
      <c r="Y80" s="414"/>
      <c r="Z80" s="414"/>
      <c r="AA80" s="415" t="str">
        <f>IFERROR(IF(AND(AB79="Probabilidad",AB80="Probabilidad"),(AH79-(+AH79*W80)),IF(AND(AB79="Impacto",AB80="Probabilidad"),(W79-(+W79*W80)),IF(AB80="Impacto",AB79,""))),"")</f>
        <v/>
      </c>
      <c r="AB80" s="392" t="str">
        <f t="shared" si="53"/>
        <v/>
      </c>
      <c r="AC80" s="393"/>
      <c r="AD80" s="393"/>
      <c r="AE80" s="393"/>
      <c r="AF80" s="394"/>
      <c r="AG80" s="417" t="str">
        <f t="shared" si="54"/>
        <v/>
      </c>
      <c r="AH80" s="416" t="str">
        <f t="shared" si="55"/>
        <v/>
      </c>
      <c r="AI80" s="395" t="str">
        <f t="shared" si="56"/>
        <v/>
      </c>
      <c r="AJ80" s="396" t="str">
        <f>IFERROR(IF(AND(AB79="Impacto",AB80="Impacto"),(AJ79-(+AJ79*W80)),IF(AND(AB79="Probabilidad",AB80="Impacto"),(AJ78-(+AJ78*W80)),IF(AB80="Probabilidad",AJ79,""))),"")</f>
        <v/>
      </c>
      <c r="AK80" s="397" t="str">
        <f t="shared" si="58"/>
        <v/>
      </c>
      <c r="AL80" s="398"/>
      <c r="AM80" s="399"/>
      <c r="AN80" s="399"/>
      <c r="AO80" s="400"/>
      <c r="AP80" s="400"/>
      <c r="AQ80" s="400"/>
      <c r="AR80" s="401"/>
      <c r="AS80" s="401"/>
      <c r="AT80" s="399"/>
      <c r="AU80" s="388"/>
    </row>
    <row r="81" spans="1:47" x14ac:dyDescent="0.25">
      <c r="A81" s="418"/>
      <c r="B81" s="419"/>
      <c r="C81" s="419"/>
      <c r="D81" s="420"/>
      <c r="E81" s="420"/>
      <c r="F81" s="420"/>
      <c r="G81" s="421"/>
      <c r="H81" s="420"/>
      <c r="I81" s="420"/>
      <c r="J81" s="420"/>
      <c r="K81" s="418"/>
      <c r="L81" s="422"/>
      <c r="M81" s="423"/>
      <c r="N81" s="424"/>
      <c r="O81" s="423">
        <f ca="1">IF(NOT(ISERROR(MATCH(N81,_xlfn.ANCHORARRAY(#REF!),0))),#REF!&amp;"Por favor no seleccionar los criterios de impacto",N81)</f>
        <v>0</v>
      </c>
      <c r="P81" s="422"/>
      <c r="Q81" s="423"/>
      <c r="R81" s="425"/>
      <c r="S81" s="412">
        <v>6</v>
      </c>
      <c r="T81" s="389"/>
      <c r="U81" s="414"/>
      <c r="V81" s="414"/>
      <c r="W81" s="413" t="str">
        <f t="shared" si="57"/>
        <v/>
      </c>
      <c r="X81" s="414"/>
      <c r="Y81" s="414"/>
      <c r="Z81" s="414"/>
      <c r="AA81" s="415" t="str">
        <f>IFERROR(IF(AND(AB80="Probabilidad",AB81="Probabilidad"),(AH80-(+AH80*W81)),IF(AND(AB80="Impacto",AB81="Probabilidad"),(W80-(+W80*W81)),IF(AB81="Impacto",AB80,""))),"")</f>
        <v/>
      </c>
      <c r="AB81" s="392" t="str">
        <f t="shared" si="53"/>
        <v/>
      </c>
      <c r="AC81" s="393"/>
      <c r="AD81" s="393"/>
      <c r="AE81" s="393"/>
      <c r="AF81" s="394"/>
      <c r="AG81" s="417" t="str">
        <f t="shared" si="54"/>
        <v/>
      </c>
      <c r="AH81" s="416" t="str">
        <f t="shared" si="55"/>
        <v/>
      </c>
      <c r="AI81" s="395" t="str">
        <f t="shared" si="56"/>
        <v/>
      </c>
      <c r="AJ81" s="396" t="str">
        <f>IFERROR(IF(AND(AB80="Impacto",AB81="Impacto"),(AJ80-(+AJ80*W81)),IF(AND(AB80="Probabilidad",AB81="Impacto"),(AJ79-(+AJ79*W81)),IF(AB81="Probabilidad",AJ80,""))),"")</f>
        <v/>
      </c>
      <c r="AK81" s="397" t="str">
        <f t="shared" si="58"/>
        <v/>
      </c>
      <c r="AL81" s="398"/>
      <c r="AM81" s="399"/>
      <c r="AN81" s="399"/>
      <c r="AO81" s="400"/>
      <c r="AP81" s="400"/>
      <c r="AQ81" s="400"/>
      <c r="AR81" s="401"/>
      <c r="AS81" s="401"/>
      <c r="AT81" s="399"/>
      <c r="AU81" s="388"/>
    </row>
    <row r="82" spans="1:47" ht="157.5" x14ac:dyDescent="0.25">
      <c r="A82" s="380">
        <v>14</v>
      </c>
      <c r="B82" s="381" t="s">
        <v>364</v>
      </c>
      <c r="C82" s="381" t="s">
        <v>219</v>
      </c>
      <c r="D82" s="382" t="s">
        <v>128</v>
      </c>
      <c r="E82" s="382" t="s">
        <v>365</v>
      </c>
      <c r="F82" s="382" t="s">
        <v>366</v>
      </c>
      <c r="G82" s="383" t="s">
        <v>291</v>
      </c>
      <c r="H82" s="382" t="s">
        <v>126</v>
      </c>
      <c r="I82" s="382" t="s">
        <v>247</v>
      </c>
      <c r="J82" s="382" t="s">
        <v>367</v>
      </c>
      <c r="K82" s="380" t="s">
        <v>101</v>
      </c>
      <c r="L82" s="384" t="str">
        <f>IF(K82&lt;=0,"",IF(K82&lt;="La actividad que conlleva el riesgo se ejecuta como máximos 2 veces por año","Muy Baja",IF(K82="La actividad que conlleva el riesgo se ejecuta de 3 a 24 veces por año","Baja",IF(K82="La actividad que conlleva el riesgo se ejecuta de 24 a 500 veces por año","Media",IF(K82="La actividad que conlleva el riesgo se ejecuta mínimo 500 veces al año y máximo 5000 veces por año","Alta","Muy Alta")))))</f>
        <v>Baja</v>
      </c>
      <c r="M82" s="385">
        <f>IF(L82="","",IF(L82="Muy Baja",0.2,IF(L82="Baja",0.4,IF(L82="Media",0.6,IF(L82="Alta",0.8,IF(L82="Muy Alta",1,))))))</f>
        <v>0.4</v>
      </c>
      <c r="N82" s="386" t="s">
        <v>147</v>
      </c>
      <c r="O82" s="385" t="str">
        <f ca="1">IF(NOT(ISERROR(MATCH(N82,'Tabla Impacto'!$B$221:$B$223,0))),'Tabla Impacto'!$F$223&amp;"Por favor no seleccionar los criterios de impacto(Afectación Económica o presupuestal y Pérdida Reputacional)",N82)</f>
        <v xml:space="preserve">     El riesgo afecta la imagen de alguna área de la organización</v>
      </c>
      <c r="P82" s="384" t="str">
        <f ca="1">IF(OR(O82='Tabla Impacto'!$C$11,O82='Tabla Impacto'!$D$11),"Leve",IF(OR(O82='Tabla Impacto'!$C$12,O82='Tabla Impacto'!$D$12),"Menor",IF(OR(O82='Tabla Impacto'!$C$13,O82='Tabla Impacto'!$D$13),"Moderado",IF(OR(O82='Tabla Impacto'!$C$14,O82='Tabla Impacto'!$D$14),"Mayor",IF(OR(O82='Tabla Impacto'!$C$15,O82='Tabla Impacto'!$D$15),"Catastrófico","")))))</f>
        <v>Leve</v>
      </c>
      <c r="Q82" s="385">
        <f ca="1">IF(P82="","",IF(P82="Leve",0.2,IF(P82="Menor",0.4,IF(P82="Moderado",0.6,IF(P82="Mayor",0.8,IF(P82="Catastrófico",1,))))))</f>
        <v>0.2</v>
      </c>
      <c r="R82" s="387" t="str">
        <f ca="1">IF(OR(AND(L82="Muy Baja",P82="Leve"),AND(L82="Muy Baja",P82="Menor"),AND(L82="Baja",P82="Leve")),"Bajo",IF(OR(AND(L82="Muy baja",P82="Moderado"),AND(L82="Baja",P82="Menor"),AND(L82="Baja",P82="Moderado"),AND(L82="Media",P82="Leve"),AND(L82="Media",P82="Menor"),AND(L82="Media",P82="Moderado"),AND(L82="Alta",P82="Leve"),AND(L82="Alta",P82="Menor")),"Moderado",IF(OR(AND(L82="Muy Baja",P82="Mayor"),AND(L82="Baja",P82="Mayor"),AND(L82="Media",P82="Mayor"),AND(L82="Alta",P82="Moderado"),AND(L82="Alta",P82="Mayor"),AND(L82="Muy Alta",P82="Leve"),AND(L82="Muy Alta",P82="Menor"),AND(L82="Muy Alta",P82="Moderado"),AND(L82="Muy Alta",P82="Mayor")),"Alto",IF(OR(AND(L82="Muy Baja",P82="Catastrófico"),AND(L82="Baja",P82="Catastrófico"),AND(L82="Media",P82="Catastrófico"),AND(L82="Alta",P82="Catastrófico"),AND(L82="Muy Alta",P82="Catastrófico")),"Extremo",""))))</f>
        <v>Bajo</v>
      </c>
      <c r="S82" s="412">
        <v>1</v>
      </c>
      <c r="T82" s="389" t="s">
        <v>292</v>
      </c>
      <c r="U82" s="390" t="s">
        <v>14</v>
      </c>
      <c r="V82" s="390" t="s">
        <v>9</v>
      </c>
      <c r="W82" s="391" t="str">
        <f>IF(AND(U82="Preventivo",V82="Automático"),"50%",IF(AND(U82="Preventivo",V82="Manual"),"40%",IF(AND(U82="Detectivo",V82="Automático"),"40%",IF(AND(U82="Detectivo",V82="Manual"),"30%",IF(AND(U82="Correctivo",V82="Automático"),"35%",IF(AND(U82="Correctivo",V82="Manual"),"25%",""))))))</f>
        <v>40%</v>
      </c>
      <c r="X82" s="390" t="s">
        <v>19</v>
      </c>
      <c r="Y82" s="390" t="s">
        <v>22</v>
      </c>
      <c r="Z82" s="390" t="s">
        <v>117</v>
      </c>
      <c r="AA82" s="392">
        <f>IFERROR(IF(AB82="Probabilidad",(M82-(+M82*W82)),IF(AB82="Impacto",M82,"")),"")</f>
        <v>0.24</v>
      </c>
      <c r="AB82" s="392" t="str">
        <f t="shared" ref="AB82:AB87" si="59">IF(OR(U82="Preventivo",U82="Detectivo"),"Probabilidad",IF(U82="Correctivo","Impacto",""))</f>
        <v>Probabilidad</v>
      </c>
      <c r="AC82" s="393" t="s">
        <v>293</v>
      </c>
      <c r="AD82" s="393" t="s">
        <v>294</v>
      </c>
      <c r="AE82" s="393" t="s">
        <v>286</v>
      </c>
      <c r="AF82" s="394" t="s">
        <v>248</v>
      </c>
      <c r="AG82" s="395" t="str">
        <f t="shared" ref="AG82:AG87" si="60">IFERROR(IF(AA82="","",IF(AA82&lt;=0.2,"Muy Baja",IF(AA82&lt;=0.4,"Baja",IF(AA82&lt;=0.6,"Media",IF(AA82&lt;=0.8,"Alta","Muy Alta"))))),"")</f>
        <v>Baja</v>
      </c>
      <c r="AH82" s="396">
        <f t="shared" ref="AH82:AH87" si="61">+AA82</f>
        <v>0.24</v>
      </c>
      <c r="AI82" s="395" t="str">
        <f t="shared" ref="AI82:AI87" ca="1" si="62">IFERROR(IF(AJ82="","",IF(AJ82&lt;=0.2,"Leve",IF(AJ82&lt;=0.4,"Menor",IF(AJ82&lt;=0.6,"Moderado",IF(AJ82&lt;=0.8,"Mayor","Catastrófico"))))),"")</f>
        <v>Leve</v>
      </c>
      <c r="AJ82" s="396">
        <f ca="1">IFERROR(IF(AB82="Impacto",(Q82-(+Q82*W82)),IF(AB82="Probabilidad",Q82,"")),"")</f>
        <v>0.2</v>
      </c>
      <c r="AK82" s="397" t="str">
        <f ca="1">IFERROR(IF(OR(AND(AG82="Muy Baja",AI82="Leve"),AND(AG82="Muy Baja",AI82="Menor"),AND(AG82="Baja",AI82="Leve")),"Bajo",IF(OR(AND(AG82="Muy baja",AI82="Moderado"),AND(AG82="Baja",AI82="Menor"),AND(AG82="Baja",AI82="Moderado"),AND(AG82="Media",AI82="Leve"),AND(AG82="Media",AI82="Menor"),AND(AG82="Media",AI82="Moderado"),AND(AG82="Alta",AI82="Leve"),AND(AG82="Alta",AI82="Menor")),"Moderado",IF(OR(AND(AG82="Muy Baja",AI82="Mayor"),AND(AG82="Baja",AI82="Mayor"),AND(AG82="Media",AI82="Mayor"),AND(AG82="Alta",AI82="Moderado"),AND(AG82="Alta",AI82="Mayor"),AND(AG82="Muy Alta",AI82="Leve"),AND(AG82="Muy Alta",AI82="Menor"),AND(AG82="Muy Alta",AI82="Moderado"),AND(AG82="Muy Alta",AI82="Mayor")),"Alto",IF(OR(AND(AG82="Muy Baja",AI82="Catastrófico"),AND(AG82="Baja",AI82="Catastrófico"),AND(AG82="Media",AI82="Catastrófico"),AND(AG82="Alta",AI82="Catastrófico"),AND(AG82="Muy Alta",AI82="Catastrófico")),"Extremo","")))),"")</f>
        <v>Bajo</v>
      </c>
      <c r="AL82" s="398" t="s">
        <v>132</v>
      </c>
      <c r="AM82" s="399" t="s">
        <v>295</v>
      </c>
      <c r="AN82" s="399" t="s">
        <v>296</v>
      </c>
      <c r="AO82" s="400" t="s">
        <v>529</v>
      </c>
      <c r="AP82" s="400" t="s">
        <v>513</v>
      </c>
      <c r="AQ82" s="400" t="s">
        <v>515</v>
      </c>
      <c r="AR82" s="401" t="s">
        <v>297</v>
      </c>
      <c r="AS82" s="401" t="s">
        <v>298</v>
      </c>
      <c r="AT82" s="399" t="s">
        <v>258</v>
      </c>
      <c r="AU82" s="388" t="s">
        <v>41</v>
      </c>
    </row>
    <row r="83" spans="1:47" x14ac:dyDescent="0.25">
      <c r="A83" s="404"/>
      <c r="B83" s="405"/>
      <c r="C83" s="405"/>
      <c r="D83" s="406"/>
      <c r="E83" s="406"/>
      <c r="F83" s="406"/>
      <c r="G83" s="407"/>
      <c r="H83" s="406"/>
      <c r="I83" s="406"/>
      <c r="J83" s="406"/>
      <c r="K83" s="404"/>
      <c r="L83" s="408"/>
      <c r="M83" s="409"/>
      <c r="N83" s="410"/>
      <c r="O83" s="409">
        <f ca="1">IF(NOT(ISERROR(MATCH(N83,_xlfn.ANCHORARRAY(#REF!),0))),#REF!&amp;"Por favor no seleccionar los criterios de impacto",N83)</f>
        <v>0</v>
      </c>
      <c r="P83" s="408"/>
      <c r="Q83" s="409"/>
      <c r="R83" s="411"/>
      <c r="S83" s="412">
        <v>2</v>
      </c>
      <c r="T83" s="389"/>
      <c r="U83" s="414"/>
      <c r="V83" s="414"/>
      <c r="W83" s="413" t="str">
        <f t="shared" ref="W83:W87" si="63">IF(AND(U83="Preventivo",V83="Automático"),"50%",IF(AND(U83="Preventivo",V83="Manual"),"40%",IF(AND(U83="Detectivo",V83="Automático"),"40%",IF(AND(U83="Detectivo",V83="Manual"),"30%",IF(AND(U83="Correctivo",V83="Automático"),"35%",IF(AND(U83="Correctivo",V83="Manual"),"25%",""))))))</f>
        <v/>
      </c>
      <c r="X83" s="414"/>
      <c r="Y83" s="414"/>
      <c r="Z83" s="414"/>
      <c r="AA83" s="415" t="str">
        <f>IFERROR(IF(AND(AB82="Probabilidad",AB83="Probabilidad"),(AH82-(+AH82*W83)),IF(AB83="Probabilidad",(M82-(+M82*W83)),IF(AB83="Impacto",AH82,""))),"")</f>
        <v/>
      </c>
      <c r="AB83" s="392" t="str">
        <f t="shared" si="59"/>
        <v/>
      </c>
      <c r="AC83" s="393"/>
      <c r="AD83" s="393"/>
      <c r="AE83" s="393"/>
      <c r="AF83" s="394"/>
      <c r="AG83" s="417" t="str">
        <f t="shared" si="60"/>
        <v/>
      </c>
      <c r="AH83" s="416" t="str">
        <f t="shared" si="61"/>
        <v/>
      </c>
      <c r="AI83" s="395" t="str">
        <f t="shared" si="62"/>
        <v/>
      </c>
      <c r="AJ83" s="396" t="str">
        <f>IFERROR(IF(AND(AB82="Impacto",AB83="Impacto"),(AJ82-(+AJ82*W83)),IF(AB83="Impacto",($Q$10-(+$Q$10*AB83)),IF(AB83="Probabilidad",AJ82,""))),"")</f>
        <v/>
      </c>
      <c r="AK83" s="397" t="str">
        <f>IFERROR(IF(OR(AND(AG83="Muy Baja",AI83="Leve"),AND(AG83="Muy Baja",AI83="Menor"),AND(AG83="Baja",AI83="Leve")),"Bajo",IF(OR(AND(AG83="Muy baja",AI83="Moderado"),AND(AG83="Baja",AI83="Menor"),AND(AG83="Baja",AI83="Moderado"),AND(AG83="Media",AI83="Leve"),AND(AG83="Media",AI83="Menor"),AND(AG83="Media",AI83="Moderado"),AND(AG83="Alta",AI83="Leve"),AND(AG83="Alta",AI83="Menor")),"Moderado",IF(OR(AND(AG83="Muy Baja",AI83="Mayor"),AND(AG83="Baja",AI83="Mayor"),AND(AG83="Media",AI83="Mayor"),AND(AG83="Alta",AI83="Moderado"),AND(AG83="Alta",AI83="Mayor"),AND(AG83="Muy Alta",AI83="Leve"),AND(AG83="Muy Alta",AI83="Menor"),AND(AG83="Muy Alta",AI83="Moderado"),AND(AG83="Muy Alta",AI83="Mayor")),"Alto",IF(OR(AND(AG83="Muy Baja",AI83="Catastrófico"),AND(AG83="Baja",AI83="Catastrófico"),AND(AG83="Media",AI83="Catastrófico"),AND(AG83="Alta",AI83="Catastrófico"),AND(AG83="Muy Alta",AI83="Catastrófico")),"Extremo","")))),"")</f>
        <v/>
      </c>
      <c r="AL83" s="398"/>
      <c r="AM83" s="399"/>
      <c r="AN83" s="399"/>
      <c r="AO83" s="400"/>
      <c r="AP83" s="400"/>
      <c r="AQ83" s="400"/>
      <c r="AR83" s="401"/>
      <c r="AS83" s="401"/>
      <c r="AT83" s="399"/>
      <c r="AU83" s="388"/>
    </row>
    <row r="84" spans="1:47" x14ac:dyDescent="0.25">
      <c r="A84" s="404"/>
      <c r="B84" s="405"/>
      <c r="C84" s="405"/>
      <c r="D84" s="406"/>
      <c r="E84" s="406"/>
      <c r="F84" s="406"/>
      <c r="G84" s="407"/>
      <c r="H84" s="406"/>
      <c r="I84" s="406"/>
      <c r="J84" s="406"/>
      <c r="K84" s="404"/>
      <c r="L84" s="408"/>
      <c r="M84" s="409"/>
      <c r="N84" s="410"/>
      <c r="O84" s="409">
        <f ca="1">IF(NOT(ISERROR(MATCH(N84,_xlfn.ANCHORARRAY(#REF!),0))),#REF!&amp;"Por favor no seleccionar los criterios de impacto",N84)</f>
        <v>0</v>
      </c>
      <c r="P84" s="408"/>
      <c r="Q84" s="409"/>
      <c r="R84" s="411"/>
      <c r="S84" s="412">
        <v>3</v>
      </c>
      <c r="T84" s="389"/>
      <c r="U84" s="414"/>
      <c r="V84" s="414"/>
      <c r="W84" s="413" t="str">
        <f t="shared" si="63"/>
        <v/>
      </c>
      <c r="X84" s="414"/>
      <c r="Y84" s="414"/>
      <c r="Z84" s="414"/>
      <c r="AA84" s="415" t="str">
        <f>IFERROR(IF(AND(AB83="Probabilidad",AB84="Probabilidad"),(AH83-(+AH83*W84)),IF(AND(AB83="Impacto",AB84="Probabilidad"),(W83-(+W83*W84)),IF(AB84="Impacto",AB83,""))),"")</f>
        <v/>
      </c>
      <c r="AB84" s="392" t="str">
        <f t="shared" si="59"/>
        <v/>
      </c>
      <c r="AC84" s="393"/>
      <c r="AD84" s="393"/>
      <c r="AE84" s="393"/>
      <c r="AF84" s="394"/>
      <c r="AG84" s="417" t="str">
        <f t="shared" si="60"/>
        <v/>
      </c>
      <c r="AH84" s="416" t="str">
        <f t="shared" si="61"/>
        <v/>
      </c>
      <c r="AI84" s="395" t="str">
        <f t="shared" si="62"/>
        <v/>
      </c>
      <c r="AJ84" s="396" t="str">
        <f>IFERROR(IF(AND(AB83="Impacto",AB84="Impacto"),(AJ83-(+AJ83*W84)),IF(AND(AB83="Probabilidad",AB84="Impacto"),(AJ82-(+AJ82*W84)),IF(AB84="Probabilidad",AJ83,""))),"")</f>
        <v/>
      </c>
      <c r="AK84" s="397" t="str">
        <f>IFERROR(IF(OR(AND(AG84="Muy Baja",AI84="Leve"),AND(AG84="Muy Baja",AI84="Menor"),AND(AG84="Baja",AI84="Leve")),"Bajo",IF(OR(AND(AG84="Muy baja",AI84="Moderado"),AND(AG84="Baja",AI84="Menor"),AND(AG84="Baja",AI84="Moderado"),AND(AG84="Media",AI84="Leve"),AND(AG84="Media",AI84="Menor"),AND(AG84="Media",AI84="Moderado"),AND(AG84="Alta",AI84="Leve"),AND(AG84="Alta",AI84="Menor")),"Moderado",IF(OR(AND(AG84="Muy Baja",AI84="Mayor"),AND(AG84="Baja",AI84="Mayor"),AND(AG84="Media",AI84="Mayor"),AND(AG84="Alta",AI84="Moderado"),AND(AG84="Alta",AI84="Mayor"),AND(AG84="Muy Alta",AI84="Leve"),AND(AG84="Muy Alta",AI84="Menor"),AND(AG84="Muy Alta",AI84="Moderado"),AND(AG84="Muy Alta",AI84="Mayor")),"Alto",IF(OR(AND(AG84="Muy Baja",AI84="Catastrófico"),AND(AG84="Baja",AI84="Catastrófico"),AND(AG84="Media",AI84="Catastrófico"),AND(AG84="Alta",AI84="Catastrófico"),AND(AG84="Muy Alta",AI84="Catastrófico")),"Extremo","")))),"")</f>
        <v/>
      </c>
      <c r="AL84" s="398"/>
      <c r="AM84" s="399"/>
      <c r="AN84" s="399"/>
      <c r="AO84" s="400"/>
      <c r="AP84" s="400"/>
      <c r="AQ84" s="400"/>
      <c r="AR84" s="401"/>
      <c r="AS84" s="401"/>
      <c r="AT84" s="399"/>
      <c r="AU84" s="388"/>
    </row>
    <row r="85" spans="1:47" x14ac:dyDescent="0.25">
      <c r="A85" s="404"/>
      <c r="B85" s="405"/>
      <c r="C85" s="405"/>
      <c r="D85" s="406"/>
      <c r="E85" s="406"/>
      <c r="F85" s="406"/>
      <c r="G85" s="407"/>
      <c r="H85" s="406"/>
      <c r="I85" s="406"/>
      <c r="J85" s="406"/>
      <c r="K85" s="404"/>
      <c r="L85" s="408"/>
      <c r="M85" s="409"/>
      <c r="N85" s="410"/>
      <c r="O85" s="409">
        <f ca="1">IF(NOT(ISERROR(MATCH(N85,_xlfn.ANCHORARRAY(#REF!),0))),M88&amp;"Por favor no seleccionar los criterios de impacto",N85)</f>
        <v>0</v>
      </c>
      <c r="P85" s="408"/>
      <c r="Q85" s="409"/>
      <c r="R85" s="411"/>
      <c r="S85" s="412">
        <v>4</v>
      </c>
      <c r="T85" s="389"/>
      <c r="U85" s="414"/>
      <c r="V85" s="414"/>
      <c r="W85" s="413" t="str">
        <f t="shared" si="63"/>
        <v/>
      </c>
      <c r="X85" s="414"/>
      <c r="Y85" s="414"/>
      <c r="Z85" s="414"/>
      <c r="AA85" s="415" t="str">
        <f>IFERROR(IF(AND(AB84="Probabilidad",AB85="Probabilidad"),(AH84-(+AH84*W85)),IF(AND(AB84="Impacto",AB85="Probabilidad"),(W84-(+W84*W85)),IF(AB85="Impacto",AB84,""))),"")</f>
        <v/>
      </c>
      <c r="AB85" s="392" t="str">
        <f t="shared" si="59"/>
        <v/>
      </c>
      <c r="AC85" s="393"/>
      <c r="AD85" s="393"/>
      <c r="AE85" s="393"/>
      <c r="AF85" s="394"/>
      <c r="AG85" s="417" t="str">
        <f t="shared" si="60"/>
        <v/>
      </c>
      <c r="AH85" s="416" t="str">
        <f t="shared" si="61"/>
        <v/>
      </c>
      <c r="AI85" s="395" t="str">
        <f t="shared" si="62"/>
        <v/>
      </c>
      <c r="AJ85" s="396" t="str">
        <f>IFERROR(IF(AND(AB84="Impacto",AB85="Impacto"),(AJ84-(+AJ84*W85)),IF(AND(AB84="Probabilidad",AB85="Impacto"),(AJ83-(+AJ83*W85)),IF(AB85="Probabilidad",AJ84,""))),"")</f>
        <v/>
      </c>
      <c r="AK85" s="397" t="str">
        <f t="shared" ref="AK85:AK87" si="64">IFERROR(IF(OR(AND(AG85="Muy Baja",AI85="Leve"),AND(AG85="Muy Baja",AI85="Menor"),AND(AG85="Baja",AI85="Leve")),"Bajo",IF(OR(AND(AG85="Muy baja",AI85="Moderado"),AND(AG85="Baja",AI85="Menor"),AND(AG85="Baja",AI85="Moderado"),AND(AG85="Media",AI85="Leve"),AND(AG85="Media",AI85="Menor"),AND(AG85="Media",AI85="Moderado"),AND(AG85="Alta",AI85="Leve"),AND(AG85="Alta",AI85="Menor")),"Moderado",IF(OR(AND(AG85="Muy Baja",AI85="Mayor"),AND(AG85="Baja",AI85="Mayor"),AND(AG85="Media",AI85="Mayor"),AND(AG85="Alta",AI85="Moderado"),AND(AG85="Alta",AI85="Mayor"),AND(AG85="Muy Alta",AI85="Leve"),AND(AG85="Muy Alta",AI85="Menor"),AND(AG85="Muy Alta",AI85="Moderado"),AND(AG85="Muy Alta",AI85="Mayor")),"Alto",IF(OR(AND(AG85="Muy Baja",AI85="Catastrófico"),AND(AG85="Baja",AI85="Catastrófico"),AND(AG85="Media",AI85="Catastrófico"),AND(AG85="Alta",AI85="Catastrófico"),AND(AG85="Muy Alta",AI85="Catastrófico")),"Extremo","")))),"")</f>
        <v/>
      </c>
      <c r="AL85" s="398"/>
      <c r="AM85" s="399"/>
      <c r="AN85" s="399"/>
      <c r="AO85" s="400"/>
      <c r="AP85" s="400"/>
      <c r="AQ85" s="400"/>
      <c r="AR85" s="401"/>
      <c r="AS85" s="401"/>
      <c r="AT85" s="399"/>
      <c r="AU85" s="388"/>
    </row>
    <row r="86" spans="1:47" x14ac:dyDescent="0.25">
      <c r="A86" s="404"/>
      <c r="B86" s="405"/>
      <c r="C86" s="405"/>
      <c r="D86" s="406"/>
      <c r="E86" s="406"/>
      <c r="F86" s="406"/>
      <c r="G86" s="407"/>
      <c r="H86" s="406"/>
      <c r="I86" s="406"/>
      <c r="J86" s="406"/>
      <c r="K86" s="404"/>
      <c r="L86" s="408"/>
      <c r="M86" s="409"/>
      <c r="N86" s="410"/>
      <c r="O86" s="409">
        <f ca="1">IF(NOT(ISERROR(MATCH(N86,_xlfn.ANCHORARRAY(#REF!),0))),M89&amp;"Por favor no seleccionar los criterios de impacto",N86)</f>
        <v>0</v>
      </c>
      <c r="P86" s="408"/>
      <c r="Q86" s="409"/>
      <c r="R86" s="411"/>
      <c r="S86" s="412">
        <v>5</v>
      </c>
      <c r="T86" s="389"/>
      <c r="U86" s="414"/>
      <c r="V86" s="414"/>
      <c r="W86" s="413" t="str">
        <f t="shared" si="63"/>
        <v/>
      </c>
      <c r="X86" s="414"/>
      <c r="Y86" s="414"/>
      <c r="Z86" s="414"/>
      <c r="AA86" s="415" t="str">
        <f>IFERROR(IF(AND(AB85="Probabilidad",AB86="Probabilidad"),(AH85-(+AH85*W86)),IF(AND(AB85="Impacto",AB86="Probabilidad"),(W85-(+W85*W86)),IF(AB86="Impacto",AB85,""))),"")</f>
        <v/>
      </c>
      <c r="AB86" s="392" t="str">
        <f t="shared" si="59"/>
        <v/>
      </c>
      <c r="AC86" s="393"/>
      <c r="AD86" s="393"/>
      <c r="AE86" s="393"/>
      <c r="AF86" s="394"/>
      <c r="AG86" s="417" t="str">
        <f t="shared" si="60"/>
        <v/>
      </c>
      <c r="AH86" s="416" t="str">
        <f t="shared" si="61"/>
        <v/>
      </c>
      <c r="AI86" s="395" t="str">
        <f t="shared" si="62"/>
        <v/>
      </c>
      <c r="AJ86" s="396" t="str">
        <f>IFERROR(IF(AND(AB85="Impacto",AB86="Impacto"),(AJ85-(+AJ85*W86)),IF(AND(AB85="Probabilidad",AB86="Impacto"),(AJ84-(+AJ84*W86)),IF(AB86="Probabilidad",AJ85,""))),"")</f>
        <v/>
      </c>
      <c r="AK86" s="397" t="str">
        <f t="shared" si="64"/>
        <v/>
      </c>
      <c r="AL86" s="398"/>
      <c r="AM86" s="399"/>
      <c r="AN86" s="399"/>
      <c r="AO86" s="400"/>
      <c r="AP86" s="400"/>
      <c r="AQ86" s="400"/>
      <c r="AR86" s="401"/>
      <c r="AS86" s="401"/>
      <c r="AT86" s="399"/>
      <c r="AU86" s="388"/>
    </row>
    <row r="87" spans="1:47" x14ac:dyDescent="0.25">
      <c r="A87" s="418"/>
      <c r="B87" s="419"/>
      <c r="C87" s="419"/>
      <c r="D87" s="420"/>
      <c r="E87" s="420"/>
      <c r="F87" s="420"/>
      <c r="G87" s="421"/>
      <c r="H87" s="420"/>
      <c r="I87" s="420"/>
      <c r="J87" s="420"/>
      <c r="K87" s="418"/>
      <c r="L87" s="422"/>
      <c r="M87" s="423"/>
      <c r="N87" s="424"/>
      <c r="O87" s="423">
        <f ca="1">IF(NOT(ISERROR(MATCH(N87,_xlfn.ANCHORARRAY(G88),0))),M90&amp;"Por favor no seleccionar los criterios de impacto",N87)</f>
        <v>0</v>
      </c>
      <c r="P87" s="422"/>
      <c r="Q87" s="423"/>
      <c r="R87" s="425"/>
      <c r="S87" s="412">
        <v>6</v>
      </c>
      <c r="T87" s="389"/>
      <c r="U87" s="414"/>
      <c r="V87" s="414"/>
      <c r="W87" s="413" t="str">
        <f t="shared" si="63"/>
        <v/>
      </c>
      <c r="X87" s="414"/>
      <c r="Y87" s="414"/>
      <c r="Z87" s="414"/>
      <c r="AA87" s="415" t="str">
        <f>IFERROR(IF(AND(AB86="Probabilidad",AB87="Probabilidad"),(AH86-(+AH86*W87)),IF(AND(AB86="Impacto",AB87="Probabilidad"),(W86-(+W86*W87)),IF(AB87="Impacto",AB86,""))),"")</f>
        <v/>
      </c>
      <c r="AB87" s="392" t="str">
        <f t="shared" si="59"/>
        <v/>
      </c>
      <c r="AC87" s="393"/>
      <c r="AD87" s="393"/>
      <c r="AE87" s="393"/>
      <c r="AF87" s="394"/>
      <c r="AG87" s="417" t="str">
        <f t="shared" si="60"/>
        <v/>
      </c>
      <c r="AH87" s="416" t="str">
        <f t="shared" si="61"/>
        <v/>
      </c>
      <c r="AI87" s="395" t="str">
        <f t="shared" si="62"/>
        <v/>
      </c>
      <c r="AJ87" s="396" t="str">
        <f>IFERROR(IF(AND(AB86="Impacto",AB87="Impacto"),(AJ86-(+AJ86*W87)),IF(AND(AB86="Probabilidad",AB87="Impacto"),(AJ85-(+AJ85*W87)),IF(AB87="Probabilidad",AJ86,""))),"")</f>
        <v/>
      </c>
      <c r="AK87" s="397" t="str">
        <f t="shared" si="64"/>
        <v/>
      </c>
      <c r="AL87" s="398"/>
      <c r="AM87" s="399"/>
      <c r="AN87" s="399"/>
      <c r="AO87" s="400"/>
      <c r="AP87" s="400"/>
      <c r="AQ87" s="400"/>
      <c r="AR87" s="401"/>
      <c r="AS87" s="401"/>
      <c r="AT87" s="399"/>
      <c r="AU87" s="388"/>
    </row>
    <row r="88" spans="1:47" ht="51.75" customHeight="1" x14ac:dyDescent="0.25">
      <c r="A88" s="380">
        <v>15</v>
      </c>
      <c r="B88" s="381" t="s">
        <v>545</v>
      </c>
      <c r="C88" s="381" t="s">
        <v>220</v>
      </c>
      <c r="D88" s="382" t="s">
        <v>128</v>
      </c>
      <c r="E88" s="382" t="s">
        <v>546</v>
      </c>
      <c r="F88" s="382" t="s">
        <v>366</v>
      </c>
      <c r="G88" s="383" t="s">
        <v>547</v>
      </c>
      <c r="H88" s="382" t="s">
        <v>126</v>
      </c>
      <c r="I88" s="382" t="s">
        <v>247</v>
      </c>
      <c r="J88" s="382" t="s">
        <v>548</v>
      </c>
      <c r="K88" s="380" t="s">
        <v>101</v>
      </c>
      <c r="L88" s="384" t="str">
        <f>IF(K88&lt;=0,"",IF(K88&lt;="La actividad que conlleva el riesgo se ejecuta como máximos 2 veces por año","Muy Baja",IF(K88="La actividad que conlleva el riesgo se ejecuta de 3 a 24 veces por año","Baja",IF(K88="La actividad que conlleva el riesgo se ejecuta de 24 a 500 veces por año","Media",IF(K88="La actividad que conlleva el riesgo se ejecuta mínimo 500 veces al año y máximo 5000 veces por año","Alta","Muy Alta")))))</f>
        <v>Baja</v>
      </c>
      <c r="M88" s="385">
        <f>IF(L88="","",IF(L88="Muy Baja",0.2,IF(L88="Baja",0.4,IF(L88="Media",0.6,IF(L88="Alta",0.8,IF(L88="Muy Alta",1,))))))</f>
        <v>0.4</v>
      </c>
      <c r="N88" s="386" t="s">
        <v>147</v>
      </c>
      <c r="O88" s="385" t="str">
        <f ca="1">IF(NOT(ISERROR(MATCH(N88,'Tabla Impacto'!$B$221:$B$223,0))),'Tabla Impacto'!$F$223&amp;"Por favor no seleccionar los criterios de impacto(Afectación Económica o presupuestal y Pérdida Reputacional)",N88)</f>
        <v xml:space="preserve">     El riesgo afecta la imagen de alguna área de la organización</v>
      </c>
      <c r="P88" s="384" t="str">
        <f ca="1">IF(OR(O88='Tabla Impacto'!$C$11,O88='Tabla Impacto'!$D$11),"Leve",IF(OR(O88='Tabla Impacto'!$C$12,O88='Tabla Impacto'!$D$12),"Menor",IF(OR(O88='Tabla Impacto'!$C$13,O88='Tabla Impacto'!$D$13),"Moderado",IF(OR(O88='Tabla Impacto'!$C$14,O88='Tabla Impacto'!$D$14),"Mayor",IF(OR(O88='Tabla Impacto'!$C$15,O88='Tabla Impacto'!$D$15),"Catastrófico","")))))</f>
        <v>Leve</v>
      </c>
      <c r="Q88" s="385">
        <f ca="1">IF(P88="","",IF(P88="Leve",0.2,IF(P88="Menor",0.4,IF(P88="Moderado",0.6,IF(P88="Mayor",0.8,IF(P88="Catastrófico",1,))))))</f>
        <v>0.2</v>
      </c>
      <c r="R88" s="387" t="str">
        <f ca="1">IF(OR(AND(L88="Muy Baja",P88="Leve"),AND(L88="Muy Baja",P88="Menor"),AND(L88="Baja",P88="Leve")),"Bajo",IF(OR(AND(L88="Muy baja",P88="Moderado"),AND(L88="Baja",P88="Menor"),AND(L88="Baja",P88="Moderado"),AND(L88="Media",P88="Leve"),AND(L88="Media",P88="Menor"),AND(L88="Media",P88="Moderado"),AND(L88="Alta",P88="Leve"),AND(L88="Alta",P88="Menor")),"Moderado",IF(OR(AND(L88="Muy Baja",P88="Mayor"),AND(L88="Baja",P88="Mayor"),AND(L88="Media",P88="Mayor"),AND(L88="Alta",P88="Moderado"),AND(L88="Alta",P88="Mayor"),AND(L88="Muy Alta",P88="Leve"),AND(L88="Muy Alta",P88="Menor"),AND(L88="Muy Alta",P88="Moderado"),AND(L88="Muy Alta",P88="Mayor")),"Alto",IF(OR(AND(L88="Muy Baja",P88="Catastrófico"),AND(L88="Baja",P88="Catastrófico"),AND(L88="Media",P88="Catastrófico"),AND(L88="Alta",P88="Catastrófico"),AND(L88="Muy Alta",P88="Catastrófico")),"Extremo",""))))</f>
        <v>Bajo</v>
      </c>
      <c r="S88" s="412">
        <v>1</v>
      </c>
      <c r="T88" s="389" t="s">
        <v>549</v>
      </c>
      <c r="U88" s="390" t="s">
        <v>14</v>
      </c>
      <c r="V88" s="390" t="s">
        <v>9</v>
      </c>
      <c r="W88" s="391" t="str">
        <f>IF(AND(U88="Preventivo",V88="Automático"),"50%",IF(AND(U88="Preventivo",V88="Manual"),"40%",IF(AND(U88="Detectivo",V88="Automático"),"40%",IF(AND(U88="Detectivo",V88="Manual"),"30%",IF(AND(U88="Correctivo",V88="Automático"),"35%",IF(AND(U88="Correctivo",V88="Manual"),"25%",""))))))</f>
        <v>40%</v>
      </c>
      <c r="X88" s="390" t="s">
        <v>19</v>
      </c>
      <c r="Y88" s="390" t="s">
        <v>22</v>
      </c>
      <c r="Z88" s="390" t="s">
        <v>117</v>
      </c>
      <c r="AA88" s="392">
        <f>IFERROR(IF(AB88="Probabilidad",(M88-(+M88*W88)),IF(AB88="Impacto",M88,"")),"")</f>
        <v>0.24</v>
      </c>
      <c r="AB88" s="392" t="str">
        <f t="shared" ref="AB88:AB93" si="65">IF(OR(U88="Preventivo",U88="Detectivo"),"Probabilidad",IF(U88="Correctivo","Impacto",""))</f>
        <v>Probabilidad</v>
      </c>
      <c r="AC88" s="393" t="s">
        <v>550</v>
      </c>
      <c r="AD88" s="393" t="s">
        <v>551</v>
      </c>
      <c r="AE88" s="393" t="s">
        <v>286</v>
      </c>
      <c r="AF88" s="394" t="s">
        <v>248</v>
      </c>
      <c r="AG88" s="395" t="str">
        <f t="shared" ref="AG88:AG93" si="66">IFERROR(IF(AA88="","",IF(AA88&lt;=0.2,"Muy Baja",IF(AA88&lt;=0.4,"Baja",IF(AA88&lt;=0.6,"Media",IF(AA88&lt;=0.8,"Alta","Muy Alta"))))),"")</f>
        <v>Baja</v>
      </c>
      <c r="AH88" s="396">
        <f t="shared" ref="AH88:AH93" si="67">+AA88</f>
        <v>0.24</v>
      </c>
      <c r="AI88" s="395" t="str">
        <f t="shared" ref="AI88:AI93" ca="1" si="68">IFERROR(IF(AJ88="","",IF(AJ88&lt;=0.2,"Leve",IF(AJ88&lt;=0.4,"Menor",IF(AJ88&lt;=0.6,"Moderado",IF(AJ88&lt;=0.8,"Mayor","Catastrófico"))))),"")</f>
        <v>Leve</v>
      </c>
      <c r="AJ88" s="396">
        <f ca="1">IFERROR(IF(AB88="Impacto",(Q88-(+Q88*W88)),IF(AB88="Probabilidad",Q88,"")),"")</f>
        <v>0.2</v>
      </c>
      <c r="AK88" s="397" t="str">
        <f ca="1">IFERROR(IF(OR(AND(AG88="Muy Baja",AI88="Leve"),AND(AG88="Muy Baja",AI88="Menor"),AND(AG88="Baja",AI88="Leve")),"Bajo",IF(OR(AND(AG88="Muy baja",AI88="Moderado"),AND(AG88="Baja",AI88="Menor"),AND(AG88="Baja",AI88="Moderado"),AND(AG88="Media",AI88="Leve"),AND(AG88="Media",AI88="Menor"),AND(AG88="Media",AI88="Moderado"),AND(AG88="Alta",AI88="Leve"),AND(AG88="Alta",AI88="Menor")),"Moderado",IF(OR(AND(AG88="Muy Baja",AI88="Mayor"),AND(AG88="Baja",AI88="Mayor"),AND(AG88="Media",AI88="Mayor"),AND(AG88="Alta",AI88="Moderado"),AND(AG88="Alta",AI88="Mayor"),AND(AG88="Muy Alta",AI88="Leve"),AND(AG88="Muy Alta",AI88="Menor"),AND(AG88="Muy Alta",AI88="Moderado"),AND(AG88="Muy Alta",AI88="Mayor")),"Alto",IF(OR(AND(AG88="Muy Baja",AI88="Catastrófico"),AND(AG88="Baja",AI88="Catastrófico"),AND(AG88="Media",AI88="Catastrófico"),AND(AG88="Alta",AI88="Catastrófico"),AND(AG88="Muy Alta",AI88="Catastrófico")),"Extremo","")))),"")</f>
        <v>Bajo</v>
      </c>
      <c r="AL88" s="398" t="s">
        <v>31</v>
      </c>
      <c r="AM88" s="399"/>
      <c r="AN88" s="399"/>
      <c r="AO88" s="400"/>
      <c r="AP88" s="400"/>
      <c r="AQ88" s="400"/>
      <c r="AR88" s="401"/>
      <c r="AS88" s="401"/>
      <c r="AT88" s="399"/>
      <c r="AU88" s="388"/>
    </row>
    <row r="89" spans="1:47" ht="38.25" customHeight="1" x14ac:dyDescent="0.25">
      <c r="A89" s="404"/>
      <c r="B89" s="405"/>
      <c r="C89" s="405"/>
      <c r="D89" s="406"/>
      <c r="E89" s="406"/>
      <c r="F89" s="406"/>
      <c r="G89" s="407"/>
      <c r="H89" s="406"/>
      <c r="I89" s="406"/>
      <c r="J89" s="406"/>
      <c r="K89" s="404"/>
      <c r="L89" s="408"/>
      <c r="M89" s="409"/>
      <c r="N89" s="410"/>
      <c r="O89" s="409">
        <f ca="1">IF(NOT(ISERROR(MATCH(N89,_xlfn.ANCHORARRAY(#REF!),0))),#REF!&amp;"Por favor no seleccionar los criterios de impacto",N89)</f>
        <v>0</v>
      </c>
      <c r="P89" s="408"/>
      <c r="Q89" s="409"/>
      <c r="R89" s="411"/>
      <c r="S89" s="412">
        <v>2</v>
      </c>
      <c r="T89" s="389" t="s">
        <v>307</v>
      </c>
      <c r="U89" s="414" t="s">
        <v>14</v>
      </c>
      <c r="V89" s="414" t="s">
        <v>10</v>
      </c>
      <c r="W89" s="413" t="str">
        <f t="shared" ref="W89:W93" si="69">IF(AND(U89="Preventivo",V89="Automático"),"50%",IF(AND(U89="Preventivo",V89="Manual"),"40%",IF(AND(U89="Detectivo",V89="Automático"),"40%",IF(AND(U89="Detectivo",V89="Manual"),"30%",IF(AND(U89="Correctivo",V89="Automático"),"35%",IF(AND(U89="Correctivo",V89="Manual"),"25%",""))))))</f>
        <v>50%</v>
      </c>
      <c r="X89" s="414" t="s">
        <v>19</v>
      </c>
      <c r="Y89" s="414" t="s">
        <v>22</v>
      </c>
      <c r="Z89" s="414" t="s">
        <v>117</v>
      </c>
      <c r="AA89" s="415">
        <f>IFERROR(IF(AND(AB88="Probabilidad",AB89="Probabilidad"),(AH88-(+AH88*W89)),IF(AB89="Probabilidad",(M88-(+M88*W89)),IF(AB89="Impacto",AH88,""))),"")</f>
        <v>0.12</v>
      </c>
      <c r="AB89" s="392" t="str">
        <f t="shared" si="65"/>
        <v>Probabilidad</v>
      </c>
      <c r="AC89" s="393" t="s">
        <v>308</v>
      </c>
      <c r="AD89" s="393" t="s">
        <v>300</v>
      </c>
      <c r="AE89" s="393" t="s">
        <v>286</v>
      </c>
      <c r="AF89" s="394" t="s">
        <v>248</v>
      </c>
      <c r="AG89" s="417" t="str">
        <f t="shared" si="66"/>
        <v>Muy Baja</v>
      </c>
      <c r="AH89" s="416">
        <f t="shared" si="67"/>
        <v>0.12</v>
      </c>
      <c r="AI89" s="395" t="str">
        <f t="shared" ca="1" si="68"/>
        <v>Leve</v>
      </c>
      <c r="AJ89" s="396">
        <f ca="1">IFERROR(IF(AND(AB88="Impacto",AB89="Impacto"),(AJ88-(+AJ88*W89)),IF(AB89="Impacto",($Q$10-(+$Q$10*AB89)),IF(AB89="Probabilidad",AJ88,""))),"")</f>
        <v>0.2</v>
      </c>
      <c r="AK89" s="397" t="str">
        <f ca="1">IFERROR(IF(OR(AND(AG89="Muy Baja",AI89="Leve"),AND(AG89="Muy Baja",AI89="Menor"),AND(AG89="Baja",AI89="Leve")),"Bajo",IF(OR(AND(AG89="Muy baja",AI89="Moderado"),AND(AG89="Baja",AI89="Menor"),AND(AG89="Baja",AI89="Moderado"),AND(AG89="Media",AI89="Leve"),AND(AG89="Media",AI89="Menor"),AND(AG89="Media",AI89="Moderado"),AND(AG89="Alta",AI89="Leve"),AND(AG89="Alta",AI89="Menor")),"Moderado",IF(OR(AND(AG89="Muy Baja",AI89="Mayor"),AND(AG89="Baja",AI89="Mayor"),AND(AG89="Media",AI89="Mayor"),AND(AG89="Alta",AI89="Moderado"),AND(AG89="Alta",AI89="Mayor"),AND(AG89="Muy Alta",AI89="Leve"),AND(AG89="Muy Alta",AI89="Menor"),AND(AG89="Muy Alta",AI89="Moderado"),AND(AG89="Muy Alta",AI89="Mayor")),"Alto",IF(OR(AND(AG89="Muy Baja",AI89="Catastrófico"),AND(AG89="Baja",AI89="Catastrófico"),AND(AG89="Media",AI89="Catastrófico"),AND(AG89="Alta",AI89="Catastrófico"),AND(AG89="Muy Alta",AI89="Catastrófico")),"Extremo","")))),"")</f>
        <v>Bajo</v>
      </c>
      <c r="AL89" s="398" t="s">
        <v>31</v>
      </c>
      <c r="AM89" s="399"/>
      <c r="AN89" s="399"/>
      <c r="AO89" s="400"/>
      <c r="AP89" s="400"/>
      <c r="AQ89" s="400"/>
      <c r="AR89" s="401"/>
      <c r="AS89" s="401"/>
      <c r="AT89" s="399"/>
      <c r="AU89" s="388"/>
    </row>
    <row r="90" spans="1:47" ht="33" customHeight="1" x14ac:dyDescent="0.25">
      <c r="A90" s="404"/>
      <c r="B90" s="405"/>
      <c r="C90" s="405"/>
      <c r="D90" s="406"/>
      <c r="E90" s="406"/>
      <c r="F90" s="406"/>
      <c r="G90" s="407"/>
      <c r="H90" s="406"/>
      <c r="I90" s="406"/>
      <c r="J90" s="406"/>
      <c r="K90" s="404"/>
      <c r="L90" s="408"/>
      <c r="M90" s="409"/>
      <c r="N90" s="410"/>
      <c r="O90" s="409">
        <f ca="1">IF(NOT(ISERROR(MATCH(N90,_xlfn.ANCHORARRAY(#REF!),0))),#REF!&amp;"Por favor no seleccionar los criterios de impacto",N90)</f>
        <v>0</v>
      </c>
      <c r="P90" s="408"/>
      <c r="Q90" s="409"/>
      <c r="R90" s="411"/>
      <c r="S90" s="412">
        <v>3</v>
      </c>
      <c r="T90" s="389" t="s">
        <v>309</v>
      </c>
      <c r="U90" s="414" t="s">
        <v>14</v>
      </c>
      <c r="V90" s="414" t="s">
        <v>10</v>
      </c>
      <c r="W90" s="413" t="str">
        <f t="shared" si="69"/>
        <v>50%</v>
      </c>
      <c r="X90" s="414" t="s">
        <v>19</v>
      </c>
      <c r="Y90" s="414" t="s">
        <v>22</v>
      </c>
      <c r="Z90" s="414" t="s">
        <v>117</v>
      </c>
      <c r="AA90" s="415">
        <f>IFERROR(IF(AND(AB89="Probabilidad",AB90="Probabilidad"),(AH89-(+AH89*W90)),IF(AND(AB89="Impacto",AB90="Probabilidad"),(W89-(+W89*W90)),IF(AB90="Impacto",AB89,""))),"")</f>
        <v>0.06</v>
      </c>
      <c r="AB90" s="392" t="str">
        <f t="shared" si="65"/>
        <v>Probabilidad</v>
      </c>
      <c r="AC90" s="393" t="s">
        <v>308</v>
      </c>
      <c r="AD90" s="393" t="s">
        <v>300</v>
      </c>
      <c r="AE90" s="393" t="s">
        <v>286</v>
      </c>
      <c r="AF90" s="394" t="s">
        <v>248</v>
      </c>
      <c r="AG90" s="417" t="str">
        <f t="shared" si="66"/>
        <v>Muy Baja</v>
      </c>
      <c r="AH90" s="416">
        <f t="shared" si="67"/>
        <v>0.06</v>
      </c>
      <c r="AI90" s="395" t="str">
        <f t="shared" ca="1" si="68"/>
        <v>Leve</v>
      </c>
      <c r="AJ90" s="396">
        <f ca="1">IFERROR(IF(AND(AB89="Impacto",AB90="Impacto"),(AJ89-(+AJ89*W90)),IF(AND(AB89="Probabilidad",AB90="Impacto"),(AJ88-(+AJ88*W90)),IF(AB90="Probabilidad",AJ89,""))),"")</f>
        <v>0.2</v>
      </c>
      <c r="AK90" s="397" t="str">
        <f ca="1">IFERROR(IF(OR(AND(AG90="Muy Baja",AI90="Leve"),AND(AG90="Muy Baja",AI90="Menor"),AND(AG90="Baja",AI90="Leve")),"Bajo",IF(OR(AND(AG90="Muy baja",AI90="Moderado"),AND(AG90="Baja",AI90="Menor"),AND(AG90="Baja",AI90="Moderado"),AND(AG90="Media",AI90="Leve"),AND(AG90="Media",AI90="Menor"),AND(AG90="Media",AI90="Moderado"),AND(AG90="Alta",AI90="Leve"),AND(AG90="Alta",AI90="Menor")),"Moderado",IF(OR(AND(AG90="Muy Baja",AI90="Mayor"),AND(AG90="Baja",AI90="Mayor"),AND(AG90="Media",AI90="Mayor"),AND(AG90="Alta",AI90="Moderado"),AND(AG90="Alta",AI90="Mayor"),AND(AG90="Muy Alta",AI90="Leve"),AND(AG90="Muy Alta",AI90="Menor"),AND(AG90="Muy Alta",AI90="Moderado"),AND(AG90="Muy Alta",AI90="Mayor")),"Alto",IF(OR(AND(AG90="Muy Baja",AI90="Catastrófico"),AND(AG90="Baja",AI90="Catastrófico"),AND(AG90="Media",AI90="Catastrófico"),AND(AG90="Alta",AI90="Catastrófico"),AND(AG90="Muy Alta",AI90="Catastrófico")),"Extremo","")))),"")</f>
        <v>Bajo</v>
      </c>
      <c r="AL90" s="398" t="s">
        <v>31</v>
      </c>
      <c r="AM90" s="399"/>
      <c r="AN90" s="399"/>
      <c r="AO90" s="400"/>
      <c r="AP90" s="400"/>
      <c r="AQ90" s="400"/>
      <c r="AR90" s="401"/>
      <c r="AS90" s="401"/>
      <c r="AT90" s="399"/>
      <c r="AU90" s="388"/>
    </row>
    <row r="91" spans="1:47" x14ac:dyDescent="0.25">
      <c r="A91" s="404"/>
      <c r="B91" s="405"/>
      <c r="C91" s="405"/>
      <c r="D91" s="406"/>
      <c r="E91" s="406"/>
      <c r="F91" s="406"/>
      <c r="G91" s="407"/>
      <c r="H91" s="406"/>
      <c r="I91" s="406"/>
      <c r="J91" s="406"/>
      <c r="K91" s="404"/>
      <c r="L91" s="408"/>
      <c r="M91" s="409"/>
      <c r="N91" s="410"/>
      <c r="O91" s="409">
        <f ca="1">IF(NOT(ISERROR(MATCH(N91,_xlfn.ANCHORARRAY(#REF!),0))),M94&amp;"Por favor no seleccionar los criterios de impacto",N91)</f>
        <v>0</v>
      </c>
      <c r="P91" s="408"/>
      <c r="Q91" s="409"/>
      <c r="R91" s="411"/>
      <c r="S91" s="412">
        <v>4</v>
      </c>
      <c r="T91" s="389"/>
      <c r="U91" s="414"/>
      <c r="V91" s="414"/>
      <c r="W91" s="413" t="str">
        <f t="shared" si="69"/>
        <v/>
      </c>
      <c r="X91" s="414"/>
      <c r="Y91" s="414"/>
      <c r="Z91" s="414"/>
      <c r="AA91" s="415" t="str">
        <f>IFERROR(IF(AND(AB90="Probabilidad",AB91="Probabilidad"),(AH90-(+AH90*W91)),IF(AND(AB90="Impacto",AB91="Probabilidad"),(W90-(+W90*W91)),IF(AB91="Impacto",AB90,""))),"")</f>
        <v/>
      </c>
      <c r="AB91" s="392" t="str">
        <f t="shared" si="65"/>
        <v/>
      </c>
      <c r="AC91" s="393"/>
      <c r="AD91" s="393"/>
      <c r="AE91" s="393"/>
      <c r="AF91" s="394"/>
      <c r="AG91" s="417" t="str">
        <f t="shared" si="66"/>
        <v/>
      </c>
      <c r="AH91" s="416" t="str">
        <f t="shared" si="67"/>
        <v/>
      </c>
      <c r="AI91" s="395" t="str">
        <f t="shared" si="68"/>
        <v/>
      </c>
      <c r="AJ91" s="396" t="str">
        <f>IFERROR(IF(AND(AB90="Impacto",AB91="Impacto"),(AJ90-(+AJ90*W91)),IF(AND(AB90="Probabilidad",AB91="Impacto"),(AJ89-(+AJ89*W91)),IF(AB91="Probabilidad",AJ90,""))),"")</f>
        <v/>
      </c>
      <c r="AK91" s="397" t="str">
        <f t="shared" ref="AK91:AK93" si="70">IFERROR(IF(OR(AND(AG91="Muy Baja",AI91="Leve"),AND(AG91="Muy Baja",AI91="Menor"),AND(AG91="Baja",AI91="Leve")),"Bajo",IF(OR(AND(AG91="Muy baja",AI91="Moderado"),AND(AG91="Baja",AI91="Menor"),AND(AG91="Baja",AI91="Moderado"),AND(AG91="Media",AI91="Leve"),AND(AG91="Media",AI91="Menor"),AND(AG91="Media",AI91="Moderado"),AND(AG91="Alta",AI91="Leve"),AND(AG91="Alta",AI91="Menor")),"Moderado",IF(OR(AND(AG91="Muy Baja",AI91="Mayor"),AND(AG91="Baja",AI91="Mayor"),AND(AG91="Media",AI91="Mayor"),AND(AG91="Alta",AI91="Moderado"),AND(AG91="Alta",AI91="Mayor"),AND(AG91="Muy Alta",AI91="Leve"),AND(AG91="Muy Alta",AI91="Menor"),AND(AG91="Muy Alta",AI91="Moderado"),AND(AG91="Muy Alta",AI91="Mayor")),"Alto",IF(OR(AND(AG91="Muy Baja",AI91="Catastrófico"),AND(AG91="Baja",AI91="Catastrófico"),AND(AG91="Media",AI91="Catastrófico"),AND(AG91="Alta",AI91="Catastrófico"),AND(AG91="Muy Alta",AI91="Catastrófico")),"Extremo","")))),"")</f>
        <v/>
      </c>
      <c r="AL91" s="398"/>
      <c r="AM91" s="399"/>
      <c r="AN91" s="399"/>
      <c r="AO91" s="400"/>
      <c r="AP91" s="400"/>
      <c r="AQ91" s="400"/>
      <c r="AR91" s="401"/>
      <c r="AS91" s="401"/>
      <c r="AT91" s="399"/>
      <c r="AU91" s="388"/>
    </row>
    <row r="92" spans="1:47" ht="33" customHeight="1" x14ac:dyDescent="0.25">
      <c r="A92" s="404"/>
      <c r="B92" s="405"/>
      <c r="C92" s="405"/>
      <c r="D92" s="406"/>
      <c r="E92" s="406"/>
      <c r="F92" s="406"/>
      <c r="G92" s="407"/>
      <c r="H92" s="406"/>
      <c r="I92" s="406"/>
      <c r="J92" s="406"/>
      <c r="K92" s="404"/>
      <c r="L92" s="408"/>
      <c r="M92" s="409"/>
      <c r="N92" s="410"/>
      <c r="O92" s="409">
        <f ca="1">IF(NOT(ISERROR(MATCH(N92,_xlfn.ANCHORARRAY(#REF!),0))),M95&amp;"Por favor no seleccionar los criterios de impacto",N92)</f>
        <v>0</v>
      </c>
      <c r="P92" s="408"/>
      <c r="Q92" s="409"/>
      <c r="R92" s="411"/>
      <c r="S92" s="412">
        <v>5</v>
      </c>
      <c r="T92" s="389"/>
      <c r="U92" s="414"/>
      <c r="V92" s="414"/>
      <c r="W92" s="413" t="str">
        <f t="shared" si="69"/>
        <v/>
      </c>
      <c r="X92" s="414"/>
      <c r="Y92" s="414"/>
      <c r="Z92" s="414"/>
      <c r="AA92" s="415" t="str">
        <f>IFERROR(IF(AND(AB91="Probabilidad",AB92="Probabilidad"),(AH91-(+AH91*W92)),IF(AND(AB91="Impacto",AB92="Probabilidad"),(W91-(+W91*W92)),IF(AB92="Impacto",AB91,""))),"")</f>
        <v/>
      </c>
      <c r="AB92" s="392" t="str">
        <f t="shared" si="65"/>
        <v/>
      </c>
      <c r="AC92" s="393"/>
      <c r="AD92" s="393"/>
      <c r="AE92" s="393"/>
      <c r="AF92" s="394"/>
      <c r="AG92" s="417" t="str">
        <f t="shared" si="66"/>
        <v/>
      </c>
      <c r="AH92" s="416" t="str">
        <f t="shared" si="67"/>
        <v/>
      </c>
      <c r="AI92" s="395" t="str">
        <f t="shared" si="68"/>
        <v/>
      </c>
      <c r="AJ92" s="396" t="str">
        <f>IFERROR(IF(AND(AB91="Impacto",AB92="Impacto"),(AJ91-(+AJ91*W92)),IF(AND(AB91="Probabilidad",AB92="Impacto"),(AJ90-(+AJ90*W92)),IF(AB92="Probabilidad",AJ91,""))),"")</f>
        <v/>
      </c>
      <c r="AK92" s="397" t="str">
        <f t="shared" si="70"/>
        <v/>
      </c>
      <c r="AL92" s="398"/>
      <c r="AM92" s="399"/>
      <c r="AN92" s="399"/>
      <c r="AO92" s="400"/>
      <c r="AP92" s="400"/>
      <c r="AQ92" s="400"/>
      <c r="AR92" s="401"/>
      <c r="AS92" s="401"/>
      <c r="AT92" s="399"/>
      <c r="AU92" s="388"/>
    </row>
    <row r="93" spans="1:47" ht="51.75" customHeight="1" x14ac:dyDescent="0.25">
      <c r="A93" s="418"/>
      <c r="B93" s="419"/>
      <c r="C93" s="419"/>
      <c r="D93" s="420"/>
      <c r="E93" s="420"/>
      <c r="F93" s="420"/>
      <c r="G93" s="421"/>
      <c r="H93" s="420"/>
      <c r="I93" s="420"/>
      <c r="J93" s="420"/>
      <c r="K93" s="418"/>
      <c r="L93" s="422"/>
      <c r="M93" s="423"/>
      <c r="N93" s="424"/>
      <c r="O93" s="423">
        <f ca="1">IF(NOT(ISERROR(MATCH(N93,_xlfn.ANCHORARRAY(G94),0))),M96&amp;"Por favor no seleccionar los criterios de impacto",N93)</f>
        <v>0</v>
      </c>
      <c r="P93" s="422"/>
      <c r="Q93" s="423"/>
      <c r="R93" s="425"/>
      <c r="S93" s="412">
        <v>6</v>
      </c>
      <c r="T93" s="389"/>
      <c r="U93" s="414"/>
      <c r="V93" s="414"/>
      <c r="W93" s="413" t="str">
        <f t="shared" si="69"/>
        <v/>
      </c>
      <c r="X93" s="414"/>
      <c r="Y93" s="414"/>
      <c r="Z93" s="414"/>
      <c r="AA93" s="415" t="str">
        <f>IFERROR(IF(AND(AB92="Probabilidad",AB93="Probabilidad"),(AH92-(+AH92*W93)),IF(AND(AB92="Impacto",AB93="Probabilidad"),(W92-(+W92*W93)),IF(AB93="Impacto",AB92,""))),"")</f>
        <v/>
      </c>
      <c r="AB93" s="392" t="str">
        <f t="shared" si="65"/>
        <v/>
      </c>
      <c r="AC93" s="393"/>
      <c r="AD93" s="393"/>
      <c r="AE93" s="393"/>
      <c r="AF93" s="394"/>
      <c r="AG93" s="417" t="str">
        <f t="shared" si="66"/>
        <v/>
      </c>
      <c r="AH93" s="416" t="str">
        <f t="shared" si="67"/>
        <v/>
      </c>
      <c r="AI93" s="395" t="str">
        <f t="shared" si="68"/>
        <v/>
      </c>
      <c r="AJ93" s="396" t="str">
        <f>IFERROR(IF(AND(AB92="Impacto",AB93="Impacto"),(AJ92-(+AJ92*W93)),IF(AND(AB92="Probabilidad",AB93="Impacto"),(AJ91-(+AJ91*W93)),IF(AB93="Probabilidad",AJ92,""))),"")</f>
        <v/>
      </c>
      <c r="AK93" s="397" t="str">
        <f t="shared" si="70"/>
        <v/>
      </c>
      <c r="AL93" s="398"/>
      <c r="AM93" s="399"/>
      <c r="AN93" s="399"/>
      <c r="AO93" s="400"/>
      <c r="AP93" s="400"/>
      <c r="AQ93" s="400"/>
      <c r="AR93" s="401"/>
      <c r="AS93" s="401"/>
      <c r="AT93" s="399"/>
      <c r="AU93" s="388"/>
    </row>
  </sheetData>
  <dataConsolidate/>
  <mergeCells count="311">
    <mergeCell ref="AG1:AK1"/>
    <mergeCell ref="S1:AF1"/>
    <mergeCell ref="U2:AF2"/>
    <mergeCell ref="I4:I9"/>
    <mergeCell ref="J4:J9"/>
    <mergeCell ref="L4:L9"/>
    <mergeCell ref="AI2:AI3"/>
    <mergeCell ref="AG2:AG3"/>
    <mergeCell ref="AH2:AH3"/>
    <mergeCell ref="L2:L3"/>
    <mergeCell ref="M2:M3"/>
    <mergeCell ref="P2:P3"/>
    <mergeCell ref="Q2:Q3"/>
    <mergeCell ref="R2:R3"/>
    <mergeCell ref="N2:N3"/>
    <mergeCell ref="O2:O3"/>
    <mergeCell ref="C1:K1"/>
    <mergeCell ref="C2:C3"/>
    <mergeCell ref="C4:C9"/>
    <mergeCell ref="H4:H9"/>
    <mergeCell ref="L1:R1"/>
    <mergeCell ref="N4:N9"/>
    <mergeCell ref="O4:O9"/>
    <mergeCell ref="P4:P9"/>
    <mergeCell ref="A4:A9"/>
    <mergeCell ref="D4:D9"/>
    <mergeCell ref="E4:E9"/>
    <mergeCell ref="F4:F9"/>
    <mergeCell ref="G4:G9"/>
    <mergeCell ref="A2:A3"/>
    <mergeCell ref="B2:B3"/>
    <mergeCell ref="I2:I3"/>
    <mergeCell ref="J2:J3"/>
    <mergeCell ref="B4:B9"/>
    <mergeCell ref="D2:D3"/>
    <mergeCell ref="P10:P15"/>
    <mergeCell ref="Q10:Q15"/>
    <mergeCell ref="F10:F15"/>
    <mergeCell ref="G10:G15"/>
    <mergeCell ref="I10:I15"/>
    <mergeCell ref="R10:R15"/>
    <mergeCell ref="K4:K9"/>
    <mergeCell ref="K2:K3"/>
    <mergeCell ref="R4:R9"/>
    <mergeCell ref="M4:M9"/>
    <mergeCell ref="Q4:Q9"/>
    <mergeCell ref="AU2:AU3"/>
    <mergeCell ref="AT2:AT3"/>
    <mergeCell ref="AS2:AS3"/>
    <mergeCell ref="AR2:AR3"/>
    <mergeCell ref="AN2:AN3"/>
    <mergeCell ref="H2:H3"/>
    <mergeCell ref="G2:G3"/>
    <mergeCell ref="F2:F3"/>
    <mergeCell ref="E2:E3"/>
    <mergeCell ref="AL2:AL3"/>
    <mergeCell ref="S2:S3"/>
    <mergeCell ref="AK2:AK3"/>
    <mergeCell ref="AJ2:AJ3"/>
    <mergeCell ref="T2:T3"/>
    <mergeCell ref="AP2:AP3"/>
    <mergeCell ref="AQ2:AQ3"/>
    <mergeCell ref="AO2:AO3"/>
    <mergeCell ref="AM2:AM3"/>
    <mergeCell ref="O16:O21"/>
    <mergeCell ref="P16:P21"/>
    <mergeCell ref="H10:H15"/>
    <mergeCell ref="K10:K15"/>
    <mergeCell ref="L10:L15"/>
    <mergeCell ref="M10:M15"/>
    <mergeCell ref="N10:N15"/>
    <mergeCell ref="A10:A15"/>
    <mergeCell ref="D10:D15"/>
    <mergeCell ref="J16:J21"/>
    <mergeCell ref="A16:A21"/>
    <mergeCell ref="D16:D21"/>
    <mergeCell ref="E16:E21"/>
    <mergeCell ref="F16:F21"/>
    <mergeCell ref="G16:G21"/>
    <mergeCell ref="H16:H21"/>
    <mergeCell ref="K16:K21"/>
    <mergeCell ref="L16:L21"/>
    <mergeCell ref="M16:M21"/>
    <mergeCell ref="J10:J15"/>
    <mergeCell ref="E10:E15"/>
    <mergeCell ref="C10:C15"/>
    <mergeCell ref="B10:B15"/>
    <mergeCell ref="O10:O15"/>
    <mergeCell ref="A22:A27"/>
    <mergeCell ref="D22:D27"/>
    <mergeCell ref="E22:E27"/>
    <mergeCell ref="F22:F27"/>
    <mergeCell ref="G22:G27"/>
    <mergeCell ref="H22:H27"/>
    <mergeCell ref="K22:K27"/>
    <mergeCell ref="C16:C21"/>
    <mergeCell ref="C22:C27"/>
    <mergeCell ref="B16:B21"/>
    <mergeCell ref="B22:B27"/>
    <mergeCell ref="I16:I21"/>
    <mergeCell ref="I22:I27"/>
    <mergeCell ref="J22:J27"/>
    <mergeCell ref="B28:B33"/>
    <mergeCell ref="B34:B39"/>
    <mergeCell ref="B40:B45"/>
    <mergeCell ref="B46:B51"/>
    <mergeCell ref="A28:A33"/>
    <mergeCell ref="D28:D33"/>
    <mergeCell ref="E28:E33"/>
    <mergeCell ref="A34:A39"/>
    <mergeCell ref="P34:P39"/>
    <mergeCell ref="H28:H33"/>
    <mergeCell ref="K28:K33"/>
    <mergeCell ref="J28:J33"/>
    <mergeCell ref="J34:J39"/>
    <mergeCell ref="L28:L33"/>
    <mergeCell ref="I28:I33"/>
    <mergeCell ref="F34:F39"/>
    <mergeCell ref="G34:G39"/>
    <mergeCell ref="I34:I39"/>
    <mergeCell ref="O28:O33"/>
    <mergeCell ref="P28:P33"/>
    <mergeCell ref="L46:L51"/>
    <mergeCell ref="M46:M51"/>
    <mergeCell ref="N46:N51"/>
    <mergeCell ref="L22:L27"/>
    <mergeCell ref="M22:M27"/>
    <mergeCell ref="N22:N27"/>
    <mergeCell ref="O22:O27"/>
    <mergeCell ref="P22:P27"/>
    <mergeCell ref="F46:F51"/>
    <mergeCell ref="G46:G51"/>
    <mergeCell ref="F40:F45"/>
    <mergeCell ref="G40:G45"/>
    <mergeCell ref="H34:H39"/>
    <mergeCell ref="C28:C33"/>
    <mergeCell ref="M28:M33"/>
    <mergeCell ref="N28:N33"/>
    <mergeCell ref="K34:K39"/>
    <mergeCell ref="L34:L39"/>
    <mergeCell ref="M34:M39"/>
    <mergeCell ref="L40:L45"/>
    <mergeCell ref="M40:M45"/>
    <mergeCell ref="J40:J45"/>
    <mergeCell ref="N40:N45"/>
    <mergeCell ref="I40:I45"/>
    <mergeCell ref="F28:F33"/>
    <mergeCell ref="G28:G33"/>
    <mergeCell ref="N34:N39"/>
    <mergeCell ref="D40:D45"/>
    <mergeCell ref="E40:E45"/>
    <mergeCell ref="C34:C39"/>
    <mergeCell ref="C40:C45"/>
    <mergeCell ref="H40:H45"/>
    <mergeCell ref="K40:K45"/>
    <mergeCell ref="D34:D39"/>
    <mergeCell ref="E34:E39"/>
    <mergeCell ref="A52:A57"/>
    <mergeCell ref="D52:D57"/>
    <mergeCell ref="E52:E57"/>
    <mergeCell ref="F52:F57"/>
    <mergeCell ref="G52:G57"/>
    <mergeCell ref="H52:H57"/>
    <mergeCell ref="K52:K57"/>
    <mergeCell ref="A46:A51"/>
    <mergeCell ref="D46:D51"/>
    <mergeCell ref="E46:E51"/>
    <mergeCell ref="J46:J51"/>
    <mergeCell ref="I46:I51"/>
    <mergeCell ref="H46:H51"/>
    <mergeCell ref="K46:K51"/>
    <mergeCell ref="A40:A45"/>
    <mergeCell ref="C46:C51"/>
    <mergeCell ref="L52:L57"/>
    <mergeCell ref="M52:M57"/>
    <mergeCell ref="B52:B57"/>
    <mergeCell ref="C52:C57"/>
    <mergeCell ref="J52:J57"/>
    <mergeCell ref="I52:I57"/>
    <mergeCell ref="AM1:AU1"/>
    <mergeCell ref="Q52:Q57"/>
    <mergeCell ref="R52:R57"/>
    <mergeCell ref="N52:N57"/>
    <mergeCell ref="O52:O57"/>
    <mergeCell ref="P52:P57"/>
    <mergeCell ref="Q40:Q45"/>
    <mergeCell ref="R40:R45"/>
    <mergeCell ref="O46:O51"/>
    <mergeCell ref="P46:P51"/>
    <mergeCell ref="Q46:Q51"/>
    <mergeCell ref="R46:R51"/>
    <mergeCell ref="O40:O45"/>
    <mergeCell ref="P40:P45"/>
    <mergeCell ref="Q16:Q21"/>
    <mergeCell ref="R16:R21"/>
    <mergeCell ref="Q22:Q27"/>
    <mergeCell ref="R22:R27"/>
    <mergeCell ref="N16:N21"/>
    <mergeCell ref="Q34:Q39"/>
    <mergeCell ref="R34:R39"/>
    <mergeCell ref="Q28:Q33"/>
    <mergeCell ref="R28:R33"/>
    <mergeCell ref="O34:O39"/>
    <mergeCell ref="A58:A63"/>
    <mergeCell ref="B58:B63"/>
    <mergeCell ref="C58:C63"/>
    <mergeCell ref="D58:D63"/>
    <mergeCell ref="E58:E63"/>
    <mergeCell ref="F58:F63"/>
    <mergeCell ref="G58:G63"/>
    <mergeCell ref="H58:H63"/>
    <mergeCell ref="I58:I63"/>
    <mergeCell ref="J58:J63"/>
    <mergeCell ref="K58:K63"/>
    <mergeCell ref="L58:L63"/>
    <mergeCell ref="M58:M63"/>
    <mergeCell ref="N58:N63"/>
    <mergeCell ref="O58:O63"/>
    <mergeCell ref="P58:P63"/>
    <mergeCell ref="Q58:Q63"/>
    <mergeCell ref="R58:R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O64:O69"/>
    <mergeCell ref="P64:P69"/>
    <mergeCell ref="Q64:Q69"/>
    <mergeCell ref="R64:R69"/>
    <mergeCell ref="A70:A75"/>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P70:P75"/>
    <mergeCell ref="Q70:Q75"/>
    <mergeCell ref="R70:R75"/>
    <mergeCell ref="A76:A81"/>
    <mergeCell ref="B76:B81"/>
    <mergeCell ref="C76:C81"/>
    <mergeCell ref="D76:D81"/>
    <mergeCell ref="E76:E81"/>
    <mergeCell ref="F76:F81"/>
    <mergeCell ref="G76:G81"/>
    <mergeCell ref="H76:H81"/>
    <mergeCell ref="I76:I81"/>
    <mergeCell ref="J76:J81"/>
    <mergeCell ref="K76:K81"/>
    <mergeCell ref="L76:L81"/>
    <mergeCell ref="M76:M81"/>
    <mergeCell ref="N76:N81"/>
    <mergeCell ref="O76:O81"/>
    <mergeCell ref="P76:P81"/>
    <mergeCell ref="Q76:Q81"/>
    <mergeCell ref="R76:R81"/>
    <mergeCell ref="A82:A87"/>
    <mergeCell ref="B82:B87"/>
    <mergeCell ref="C82:C87"/>
    <mergeCell ref="D82:D87"/>
    <mergeCell ref="E82:E87"/>
    <mergeCell ref="F82:F87"/>
    <mergeCell ref="G82:G87"/>
    <mergeCell ref="H82:H87"/>
    <mergeCell ref="I82:I87"/>
    <mergeCell ref="J82:J87"/>
    <mergeCell ref="K82:K87"/>
    <mergeCell ref="L82:L87"/>
    <mergeCell ref="M82:M87"/>
    <mergeCell ref="N82:N87"/>
    <mergeCell ref="O82:O87"/>
    <mergeCell ref="P82:P87"/>
    <mergeCell ref="Q82:Q87"/>
    <mergeCell ref="R82:R87"/>
    <mergeCell ref="A88:A93"/>
    <mergeCell ref="B88:B93"/>
    <mergeCell ref="C88:C93"/>
    <mergeCell ref="D88:D93"/>
    <mergeCell ref="E88:E93"/>
    <mergeCell ref="F88:F93"/>
    <mergeCell ref="G88:G93"/>
    <mergeCell ref="H88:H93"/>
    <mergeCell ref="I88:I93"/>
    <mergeCell ref="J88:J93"/>
    <mergeCell ref="K88:K93"/>
    <mergeCell ref="L88:L93"/>
    <mergeCell ref="M88:M93"/>
    <mergeCell ref="N88:N93"/>
    <mergeCell ref="O88:O93"/>
    <mergeCell ref="P88:P93"/>
    <mergeCell ref="Q88:Q93"/>
    <mergeCell ref="R88:R93"/>
  </mergeCells>
  <conditionalFormatting sqref="L4">
    <cfRule type="cellIs" dxfId="550" priority="1132" operator="equal">
      <formula>"Muy Alta"</formula>
    </cfRule>
    <cfRule type="cellIs" dxfId="549" priority="1133" operator="equal">
      <formula>"Alta"</formula>
    </cfRule>
    <cfRule type="cellIs" dxfId="548" priority="1134" operator="equal">
      <formula>"Media"</formula>
    </cfRule>
    <cfRule type="cellIs" dxfId="547" priority="1135" operator="equal">
      <formula>"Baja"</formula>
    </cfRule>
    <cfRule type="cellIs" dxfId="546" priority="1136" operator="equal">
      <formula>"Muy Baja"</formula>
    </cfRule>
  </conditionalFormatting>
  <conditionalFormatting sqref="P4 P10 P16 P22 P28 P34 P40 P46 P52">
    <cfRule type="cellIs" dxfId="545" priority="1127" operator="equal">
      <formula>"Catastrófico"</formula>
    </cfRule>
    <cfRule type="cellIs" dxfId="544" priority="1128" operator="equal">
      <formula>"Mayor"</formula>
    </cfRule>
    <cfRule type="cellIs" dxfId="543" priority="1129" operator="equal">
      <formula>"Moderado"</formula>
    </cfRule>
    <cfRule type="cellIs" dxfId="542" priority="1130" operator="equal">
      <formula>"Menor"</formula>
    </cfRule>
    <cfRule type="cellIs" dxfId="541" priority="1131" operator="equal">
      <formula>"Leve"</formula>
    </cfRule>
  </conditionalFormatting>
  <conditionalFormatting sqref="R4">
    <cfRule type="cellIs" dxfId="540" priority="1123" operator="equal">
      <formula>"Extremo"</formula>
    </cfRule>
    <cfRule type="cellIs" dxfId="539" priority="1124" operator="equal">
      <formula>"Alto"</formula>
    </cfRule>
    <cfRule type="cellIs" dxfId="538" priority="1125" operator="equal">
      <formula>"Moderado"</formula>
    </cfRule>
    <cfRule type="cellIs" dxfId="537" priority="1126" operator="equal">
      <formula>"Bajo"</formula>
    </cfRule>
  </conditionalFormatting>
  <conditionalFormatting sqref="AG4:AG9">
    <cfRule type="cellIs" dxfId="536" priority="1118" operator="equal">
      <formula>"Muy Alta"</formula>
    </cfRule>
    <cfRule type="cellIs" dxfId="535" priority="1119" operator="equal">
      <formula>"Alta"</formula>
    </cfRule>
    <cfRule type="cellIs" dxfId="534" priority="1120" operator="equal">
      <formula>"Media"</formula>
    </cfRule>
    <cfRule type="cellIs" dxfId="533" priority="1121" operator="equal">
      <formula>"Baja"</formula>
    </cfRule>
    <cfRule type="cellIs" dxfId="532" priority="1122" operator="equal">
      <formula>"Muy Baja"</formula>
    </cfRule>
  </conditionalFormatting>
  <conditionalFormatting sqref="AI4:AI5 AI7:AI57">
    <cfRule type="cellIs" dxfId="531" priority="1113" operator="equal">
      <formula>"Catastrófico"</formula>
    </cfRule>
    <cfRule type="cellIs" dxfId="530" priority="1114" operator="equal">
      <formula>"Mayor"</formula>
    </cfRule>
    <cfRule type="cellIs" dxfId="529" priority="1115" operator="equal">
      <formula>"Moderado"</formula>
    </cfRule>
    <cfRule type="cellIs" dxfId="528" priority="1116" operator="equal">
      <formula>"Menor"</formula>
    </cfRule>
    <cfRule type="cellIs" dxfId="527" priority="1117" operator="equal">
      <formula>"Leve"</formula>
    </cfRule>
  </conditionalFormatting>
  <conditionalFormatting sqref="AK4 AK7:AK9">
    <cfRule type="cellIs" dxfId="526" priority="1109" operator="equal">
      <formula>"Extremo"</formula>
    </cfRule>
    <cfRule type="cellIs" dxfId="525" priority="1110" operator="equal">
      <formula>"Alto"</formula>
    </cfRule>
    <cfRule type="cellIs" dxfId="524" priority="1111" operator="equal">
      <formula>"Moderado"</formula>
    </cfRule>
    <cfRule type="cellIs" dxfId="523" priority="1112" operator="equal">
      <formula>"Bajo"</formula>
    </cfRule>
  </conditionalFormatting>
  <conditionalFormatting sqref="R10">
    <cfRule type="cellIs" dxfId="522" priority="1053" operator="equal">
      <formula>"Extremo"</formula>
    </cfRule>
    <cfRule type="cellIs" dxfId="521" priority="1054" operator="equal">
      <formula>"Alto"</formula>
    </cfRule>
    <cfRule type="cellIs" dxfId="520" priority="1055" operator="equal">
      <formula>"Moderado"</formula>
    </cfRule>
    <cfRule type="cellIs" dxfId="519" priority="1056" operator="equal">
      <formula>"Bajo"</formula>
    </cfRule>
  </conditionalFormatting>
  <conditionalFormatting sqref="R16">
    <cfRule type="cellIs" dxfId="518" priority="1025" operator="equal">
      <formula>"Extremo"</formula>
    </cfRule>
    <cfRule type="cellIs" dxfId="517" priority="1026" operator="equal">
      <formula>"Alto"</formula>
    </cfRule>
    <cfRule type="cellIs" dxfId="516" priority="1027" operator="equal">
      <formula>"Moderado"</formula>
    </cfRule>
    <cfRule type="cellIs" dxfId="515" priority="1028" operator="equal">
      <formula>"Bajo"</formula>
    </cfRule>
  </conditionalFormatting>
  <conditionalFormatting sqref="AG16:AG21">
    <cfRule type="cellIs" dxfId="514" priority="1020" operator="equal">
      <formula>"Muy Alta"</formula>
    </cfRule>
    <cfRule type="cellIs" dxfId="513" priority="1021" operator="equal">
      <formula>"Alta"</formula>
    </cfRule>
    <cfRule type="cellIs" dxfId="512" priority="1022" operator="equal">
      <formula>"Media"</formula>
    </cfRule>
    <cfRule type="cellIs" dxfId="511" priority="1023" operator="equal">
      <formula>"Baja"</formula>
    </cfRule>
    <cfRule type="cellIs" dxfId="510" priority="1024" operator="equal">
      <formula>"Muy Baja"</formula>
    </cfRule>
  </conditionalFormatting>
  <conditionalFormatting sqref="AI16:AI21">
    <cfRule type="cellIs" dxfId="509" priority="1015" operator="equal">
      <formula>"Catastrófico"</formula>
    </cfRule>
    <cfRule type="cellIs" dxfId="508" priority="1016" operator="equal">
      <formula>"Mayor"</formula>
    </cfRule>
    <cfRule type="cellIs" dxfId="507" priority="1017" operator="equal">
      <formula>"Moderado"</formula>
    </cfRule>
    <cfRule type="cellIs" dxfId="506" priority="1018" operator="equal">
      <formula>"Menor"</formula>
    </cfRule>
    <cfRule type="cellIs" dxfId="505" priority="1019" operator="equal">
      <formula>"Leve"</formula>
    </cfRule>
  </conditionalFormatting>
  <conditionalFormatting sqref="R22">
    <cfRule type="cellIs" dxfId="504" priority="997" operator="equal">
      <formula>"Extremo"</formula>
    </cfRule>
    <cfRule type="cellIs" dxfId="503" priority="998" operator="equal">
      <formula>"Alto"</formula>
    </cfRule>
    <cfRule type="cellIs" dxfId="502" priority="999" operator="equal">
      <formula>"Moderado"</formula>
    </cfRule>
    <cfRule type="cellIs" dxfId="501" priority="1000" operator="equal">
      <formula>"Bajo"</formula>
    </cfRule>
  </conditionalFormatting>
  <conditionalFormatting sqref="AG22:AG27">
    <cfRule type="cellIs" dxfId="500" priority="992" operator="equal">
      <formula>"Muy Alta"</formula>
    </cfRule>
    <cfRule type="cellIs" dxfId="499" priority="993" operator="equal">
      <formula>"Alta"</formula>
    </cfRule>
    <cfRule type="cellIs" dxfId="498" priority="994" operator="equal">
      <formula>"Media"</formula>
    </cfRule>
    <cfRule type="cellIs" dxfId="497" priority="995" operator="equal">
      <formula>"Baja"</formula>
    </cfRule>
    <cfRule type="cellIs" dxfId="496" priority="996" operator="equal">
      <formula>"Muy Baja"</formula>
    </cfRule>
  </conditionalFormatting>
  <conditionalFormatting sqref="AI22:AI27">
    <cfRule type="cellIs" dxfId="495" priority="987" operator="equal">
      <formula>"Catastrófico"</formula>
    </cfRule>
    <cfRule type="cellIs" dxfId="494" priority="988" operator="equal">
      <formula>"Mayor"</formula>
    </cfRule>
    <cfRule type="cellIs" dxfId="493" priority="989" operator="equal">
      <formula>"Moderado"</formula>
    </cfRule>
    <cfRule type="cellIs" dxfId="492" priority="990" operator="equal">
      <formula>"Menor"</formula>
    </cfRule>
    <cfRule type="cellIs" dxfId="491" priority="991" operator="equal">
      <formula>"Leve"</formula>
    </cfRule>
  </conditionalFormatting>
  <conditionalFormatting sqref="R28">
    <cfRule type="cellIs" dxfId="490" priority="969" operator="equal">
      <formula>"Extremo"</formula>
    </cfRule>
    <cfRule type="cellIs" dxfId="489" priority="970" operator="equal">
      <formula>"Alto"</formula>
    </cfRule>
    <cfRule type="cellIs" dxfId="488" priority="971" operator="equal">
      <formula>"Moderado"</formula>
    </cfRule>
    <cfRule type="cellIs" dxfId="487" priority="972" operator="equal">
      <formula>"Bajo"</formula>
    </cfRule>
  </conditionalFormatting>
  <conditionalFormatting sqref="AG28:AG33">
    <cfRule type="cellIs" dxfId="486" priority="964" operator="equal">
      <formula>"Muy Alta"</formula>
    </cfRule>
    <cfRule type="cellIs" dxfId="485" priority="965" operator="equal">
      <formula>"Alta"</formula>
    </cfRule>
    <cfRule type="cellIs" dxfId="484" priority="966" operator="equal">
      <formula>"Media"</formula>
    </cfRule>
    <cfRule type="cellIs" dxfId="483" priority="967" operator="equal">
      <formula>"Baja"</formula>
    </cfRule>
    <cfRule type="cellIs" dxfId="482" priority="968" operator="equal">
      <formula>"Muy Baja"</formula>
    </cfRule>
  </conditionalFormatting>
  <conditionalFormatting sqref="AI28:AI33">
    <cfRule type="cellIs" dxfId="481" priority="959" operator="equal">
      <formula>"Catastrófico"</formula>
    </cfRule>
    <cfRule type="cellIs" dxfId="480" priority="960" operator="equal">
      <formula>"Mayor"</formula>
    </cfRule>
    <cfRule type="cellIs" dxfId="479" priority="961" operator="equal">
      <formula>"Moderado"</formula>
    </cfRule>
    <cfRule type="cellIs" dxfId="478" priority="962" operator="equal">
      <formula>"Menor"</formula>
    </cfRule>
    <cfRule type="cellIs" dxfId="477" priority="963" operator="equal">
      <formula>"Leve"</formula>
    </cfRule>
  </conditionalFormatting>
  <conditionalFormatting sqref="R34">
    <cfRule type="cellIs" dxfId="476" priority="941" operator="equal">
      <formula>"Extremo"</formula>
    </cfRule>
    <cfRule type="cellIs" dxfId="475" priority="942" operator="equal">
      <formula>"Alto"</formula>
    </cfRule>
    <cfRule type="cellIs" dxfId="474" priority="943" operator="equal">
      <formula>"Moderado"</formula>
    </cfRule>
    <cfRule type="cellIs" dxfId="473" priority="944" operator="equal">
      <formula>"Bajo"</formula>
    </cfRule>
  </conditionalFormatting>
  <conditionalFormatting sqref="AG34:AG39">
    <cfRule type="cellIs" dxfId="472" priority="936" operator="equal">
      <formula>"Muy Alta"</formula>
    </cfRule>
    <cfRule type="cellIs" dxfId="471" priority="937" operator="equal">
      <formula>"Alta"</formula>
    </cfRule>
    <cfRule type="cellIs" dxfId="470" priority="938" operator="equal">
      <formula>"Media"</formula>
    </cfRule>
    <cfRule type="cellIs" dxfId="469" priority="939" operator="equal">
      <formula>"Baja"</formula>
    </cfRule>
    <cfRule type="cellIs" dxfId="468" priority="940" operator="equal">
      <formula>"Muy Baja"</formula>
    </cfRule>
  </conditionalFormatting>
  <conditionalFormatting sqref="AI34:AI39">
    <cfRule type="cellIs" dxfId="467" priority="931" operator="equal">
      <formula>"Catastrófico"</formula>
    </cfRule>
    <cfRule type="cellIs" dxfId="466" priority="932" operator="equal">
      <formula>"Mayor"</formula>
    </cfRule>
    <cfRule type="cellIs" dxfId="465" priority="933" operator="equal">
      <formula>"Moderado"</formula>
    </cfRule>
    <cfRule type="cellIs" dxfId="464" priority="934" operator="equal">
      <formula>"Menor"</formula>
    </cfRule>
    <cfRule type="cellIs" dxfId="463" priority="935" operator="equal">
      <formula>"Leve"</formula>
    </cfRule>
  </conditionalFormatting>
  <conditionalFormatting sqref="R40">
    <cfRule type="cellIs" dxfId="462" priority="913" operator="equal">
      <formula>"Extremo"</formula>
    </cfRule>
    <cfRule type="cellIs" dxfId="461" priority="914" operator="equal">
      <formula>"Alto"</formula>
    </cfRule>
    <cfRule type="cellIs" dxfId="460" priority="915" operator="equal">
      <formula>"Moderado"</formula>
    </cfRule>
    <cfRule type="cellIs" dxfId="459" priority="916" operator="equal">
      <formula>"Bajo"</formula>
    </cfRule>
  </conditionalFormatting>
  <conditionalFormatting sqref="AG40:AG45">
    <cfRule type="cellIs" dxfId="458" priority="908" operator="equal">
      <formula>"Muy Alta"</formula>
    </cfRule>
    <cfRule type="cellIs" dxfId="457" priority="909" operator="equal">
      <formula>"Alta"</formula>
    </cfRule>
    <cfRule type="cellIs" dxfId="456" priority="910" operator="equal">
      <formula>"Media"</formula>
    </cfRule>
    <cfRule type="cellIs" dxfId="455" priority="911" operator="equal">
      <formula>"Baja"</formula>
    </cfRule>
    <cfRule type="cellIs" dxfId="454" priority="912" operator="equal">
      <formula>"Muy Baja"</formula>
    </cfRule>
  </conditionalFormatting>
  <conditionalFormatting sqref="AI40:AI45">
    <cfRule type="cellIs" dxfId="453" priority="903" operator="equal">
      <formula>"Catastrófico"</formula>
    </cfRule>
    <cfRule type="cellIs" dxfId="452" priority="904" operator="equal">
      <formula>"Mayor"</formula>
    </cfRule>
    <cfRule type="cellIs" dxfId="451" priority="905" operator="equal">
      <formula>"Moderado"</formula>
    </cfRule>
    <cfRule type="cellIs" dxfId="450" priority="906" operator="equal">
      <formula>"Menor"</formula>
    </cfRule>
    <cfRule type="cellIs" dxfId="449" priority="907" operator="equal">
      <formula>"Leve"</formula>
    </cfRule>
  </conditionalFormatting>
  <conditionalFormatting sqref="R46">
    <cfRule type="cellIs" dxfId="448" priority="885" operator="equal">
      <formula>"Extremo"</formula>
    </cfRule>
    <cfRule type="cellIs" dxfId="447" priority="886" operator="equal">
      <formula>"Alto"</formula>
    </cfRule>
    <cfRule type="cellIs" dxfId="446" priority="887" operator="equal">
      <formula>"Moderado"</formula>
    </cfRule>
    <cfRule type="cellIs" dxfId="445" priority="888" operator="equal">
      <formula>"Bajo"</formula>
    </cfRule>
  </conditionalFormatting>
  <conditionalFormatting sqref="AG46:AG51">
    <cfRule type="cellIs" dxfId="444" priority="880" operator="equal">
      <formula>"Muy Alta"</formula>
    </cfRule>
    <cfRule type="cellIs" dxfId="443" priority="881" operator="equal">
      <formula>"Alta"</formula>
    </cfRule>
    <cfRule type="cellIs" dxfId="442" priority="882" operator="equal">
      <formula>"Media"</formula>
    </cfRule>
    <cfRule type="cellIs" dxfId="441" priority="883" operator="equal">
      <formula>"Baja"</formula>
    </cfRule>
    <cfRule type="cellIs" dxfId="440" priority="884" operator="equal">
      <formula>"Muy Baja"</formula>
    </cfRule>
  </conditionalFormatting>
  <conditionalFormatting sqref="AI46:AI51">
    <cfRule type="cellIs" dxfId="439" priority="875" operator="equal">
      <formula>"Catastrófico"</formula>
    </cfRule>
    <cfRule type="cellIs" dxfId="438" priority="876" operator="equal">
      <formula>"Mayor"</formula>
    </cfRule>
    <cfRule type="cellIs" dxfId="437" priority="877" operator="equal">
      <formula>"Moderado"</formula>
    </cfRule>
    <cfRule type="cellIs" dxfId="436" priority="878" operator="equal">
      <formula>"Menor"</formula>
    </cfRule>
    <cfRule type="cellIs" dxfId="435" priority="879" operator="equal">
      <formula>"Leve"</formula>
    </cfRule>
  </conditionalFormatting>
  <conditionalFormatting sqref="R52">
    <cfRule type="cellIs" dxfId="434" priority="857" operator="equal">
      <formula>"Extremo"</formula>
    </cfRule>
    <cfRule type="cellIs" dxfId="433" priority="858" operator="equal">
      <formula>"Alto"</formula>
    </cfRule>
    <cfRule type="cellIs" dxfId="432" priority="859" operator="equal">
      <formula>"Moderado"</formula>
    </cfRule>
    <cfRule type="cellIs" dxfId="431" priority="860" operator="equal">
      <formula>"Bajo"</formula>
    </cfRule>
  </conditionalFormatting>
  <conditionalFormatting sqref="AG52:AG57">
    <cfRule type="cellIs" dxfId="430" priority="852" operator="equal">
      <formula>"Muy Alta"</formula>
    </cfRule>
    <cfRule type="cellIs" dxfId="429" priority="853" operator="equal">
      <formula>"Alta"</formula>
    </cfRule>
    <cfRule type="cellIs" dxfId="428" priority="854" operator="equal">
      <formula>"Media"</formula>
    </cfRule>
    <cfRule type="cellIs" dxfId="427" priority="855" operator="equal">
      <formula>"Baja"</formula>
    </cfRule>
    <cfRule type="cellIs" dxfId="426" priority="856" operator="equal">
      <formula>"Muy Baja"</formula>
    </cfRule>
  </conditionalFormatting>
  <conditionalFormatting sqref="AI52:AI57">
    <cfRule type="cellIs" dxfId="425" priority="847" operator="equal">
      <formula>"Catastrófico"</formula>
    </cfRule>
    <cfRule type="cellIs" dxfId="424" priority="848" operator="equal">
      <formula>"Mayor"</formula>
    </cfRule>
    <cfRule type="cellIs" dxfId="423" priority="849" operator="equal">
      <formula>"Moderado"</formula>
    </cfRule>
    <cfRule type="cellIs" dxfId="422" priority="850" operator="equal">
      <formula>"Menor"</formula>
    </cfRule>
    <cfRule type="cellIs" dxfId="421" priority="851" operator="equal">
      <formula>"Leve"</formula>
    </cfRule>
  </conditionalFormatting>
  <conditionalFormatting sqref="O4:O57">
    <cfRule type="containsText" dxfId="420" priority="814" operator="containsText" text="❌">
      <formula>NOT(ISERROR(SEARCH("❌",O4)))</formula>
    </cfRule>
  </conditionalFormatting>
  <conditionalFormatting sqref="AK5 AK7:AK9">
    <cfRule type="cellIs" dxfId="419" priority="810" operator="equal">
      <formula>"Extremo"</formula>
    </cfRule>
    <cfRule type="cellIs" dxfId="418" priority="811" operator="equal">
      <formula>"Alto"</formula>
    </cfRule>
    <cfRule type="cellIs" dxfId="417" priority="812" operator="equal">
      <formula>"Moderado"</formula>
    </cfRule>
    <cfRule type="cellIs" dxfId="416" priority="813" operator="equal">
      <formula>"Bajo"</formula>
    </cfRule>
  </conditionalFormatting>
  <conditionalFormatting sqref="L10">
    <cfRule type="cellIs" dxfId="415" priority="805" operator="equal">
      <formula>"Muy Alta"</formula>
    </cfRule>
    <cfRule type="cellIs" dxfId="414" priority="806" operator="equal">
      <formula>"Alta"</formula>
    </cfRule>
    <cfRule type="cellIs" dxfId="413" priority="807" operator="equal">
      <formula>"Media"</formula>
    </cfRule>
    <cfRule type="cellIs" dxfId="412" priority="808" operator="equal">
      <formula>"Baja"</formula>
    </cfRule>
    <cfRule type="cellIs" dxfId="411" priority="809" operator="equal">
      <formula>"Muy Baja"</formula>
    </cfRule>
  </conditionalFormatting>
  <conditionalFormatting sqref="L16">
    <cfRule type="cellIs" dxfId="410" priority="800" operator="equal">
      <formula>"Muy Alta"</formula>
    </cfRule>
    <cfRule type="cellIs" dxfId="409" priority="801" operator="equal">
      <formula>"Alta"</formula>
    </cfRule>
    <cfRule type="cellIs" dxfId="408" priority="802" operator="equal">
      <formula>"Media"</formula>
    </cfRule>
    <cfRule type="cellIs" dxfId="407" priority="803" operator="equal">
      <formula>"Baja"</formula>
    </cfRule>
    <cfRule type="cellIs" dxfId="406" priority="804" operator="equal">
      <formula>"Muy Baja"</formula>
    </cfRule>
  </conditionalFormatting>
  <conditionalFormatting sqref="L22">
    <cfRule type="cellIs" dxfId="405" priority="795" operator="equal">
      <formula>"Muy Alta"</formula>
    </cfRule>
    <cfRule type="cellIs" dxfId="404" priority="796" operator="equal">
      <formula>"Alta"</formula>
    </cfRule>
    <cfRule type="cellIs" dxfId="403" priority="797" operator="equal">
      <formula>"Media"</formula>
    </cfRule>
    <cfRule type="cellIs" dxfId="402" priority="798" operator="equal">
      <formula>"Baja"</formula>
    </cfRule>
    <cfRule type="cellIs" dxfId="401" priority="799" operator="equal">
      <formula>"Muy Baja"</formula>
    </cfRule>
  </conditionalFormatting>
  <conditionalFormatting sqref="L28">
    <cfRule type="cellIs" dxfId="400" priority="790" operator="equal">
      <formula>"Muy Alta"</formula>
    </cfRule>
    <cfRule type="cellIs" dxfId="399" priority="791" operator="equal">
      <formula>"Alta"</formula>
    </cfRule>
    <cfRule type="cellIs" dxfId="398" priority="792" operator="equal">
      <formula>"Media"</formula>
    </cfRule>
    <cfRule type="cellIs" dxfId="397" priority="793" operator="equal">
      <formula>"Baja"</formula>
    </cfRule>
    <cfRule type="cellIs" dxfId="396" priority="794" operator="equal">
      <formula>"Muy Baja"</formula>
    </cfRule>
  </conditionalFormatting>
  <conditionalFormatting sqref="L34">
    <cfRule type="cellIs" dxfId="395" priority="785" operator="equal">
      <formula>"Muy Alta"</formula>
    </cfRule>
    <cfRule type="cellIs" dxfId="394" priority="786" operator="equal">
      <formula>"Alta"</formula>
    </cfRule>
    <cfRule type="cellIs" dxfId="393" priority="787" operator="equal">
      <formula>"Media"</formula>
    </cfRule>
    <cfRule type="cellIs" dxfId="392" priority="788" operator="equal">
      <formula>"Baja"</formula>
    </cfRule>
    <cfRule type="cellIs" dxfId="391" priority="789" operator="equal">
      <formula>"Muy Baja"</formula>
    </cfRule>
  </conditionalFormatting>
  <conditionalFormatting sqref="L40">
    <cfRule type="cellIs" dxfId="390" priority="780" operator="equal">
      <formula>"Muy Alta"</formula>
    </cfRule>
    <cfRule type="cellIs" dxfId="389" priority="781" operator="equal">
      <formula>"Alta"</formula>
    </cfRule>
    <cfRule type="cellIs" dxfId="388" priority="782" operator="equal">
      <formula>"Media"</formula>
    </cfRule>
    <cfRule type="cellIs" dxfId="387" priority="783" operator="equal">
      <formula>"Baja"</formula>
    </cfRule>
    <cfRule type="cellIs" dxfId="386" priority="784" operator="equal">
      <formula>"Muy Baja"</formula>
    </cfRule>
  </conditionalFormatting>
  <conditionalFormatting sqref="L46">
    <cfRule type="cellIs" dxfId="385" priority="770" operator="equal">
      <formula>"Muy Alta"</formula>
    </cfRule>
    <cfRule type="cellIs" dxfId="384" priority="771" operator="equal">
      <formula>"Alta"</formula>
    </cfRule>
    <cfRule type="cellIs" dxfId="383" priority="772" operator="equal">
      <formula>"Media"</formula>
    </cfRule>
    <cfRule type="cellIs" dxfId="382" priority="773" operator="equal">
      <formula>"Baja"</formula>
    </cfRule>
    <cfRule type="cellIs" dxfId="381" priority="774" operator="equal">
      <formula>"Muy Baja"</formula>
    </cfRule>
  </conditionalFormatting>
  <conditionalFormatting sqref="L52">
    <cfRule type="cellIs" dxfId="380" priority="765" operator="equal">
      <formula>"Muy Alta"</formula>
    </cfRule>
    <cfRule type="cellIs" dxfId="379" priority="766" operator="equal">
      <formula>"Alta"</formula>
    </cfRule>
    <cfRule type="cellIs" dxfId="378" priority="767" operator="equal">
      <formula>"Media"</formula>
    </cfRule>
    <cfRule type="cellIs" dxfId="377" priority="768" operator="equal">
      <formula>"Baja"</formula>
    </cfRule>
    <cfRule type="cellIs" dxfId="376" priority="769" operator="equal">
      <formula>"Muy Baja"</formula>
    </cfRule>
  </conditionalFormatting>
  <conditionalFormatting sqref="AK6">
    <cfRule type="cellIs" dxfId="375" priority="751" operator="equal">
      <formula>"Extremo"</formula>
    </cfRule>
    <cfRule type="cellIs" dxfId="374" priority="752" operator="equal">
      <formula>"Alto"</formula>
    </cfRule>
    <cfRule type="cellIs" dxfId="373" priority="753" operator="equal">
      <formula>"Moderado"</formula>
    </cfRule>
    <cfRule type="cellIs" dxfId="372" priority="754" operator="equal">
      <formula>"Bajo"</formula>
    </cfRule>
  </conditionalFormatting>
  <conditionalFormatting sqref="AI6">
    <cfRule type="cellIs" dxfId="371" priority="746" operator="equal">
      <formula>"Catastrófico"</formula>
    </cfRule>
    <cfRule type="cellIs" dxfId="370" priority="747" operator="equal">
      <formula>"Mayor"</formula>
    </cfRule>
    <cfRule type="cellIs" dxfId="369" priority="748" operator="equal">
      <formula>"Moderado"</formula>
    </cfRule>
    <cfRule type="cellIs" dxfId="368" priority="749" operator="equal">
      <formula>"Menor"</formula>
    </cfRule>
    <cfRule type="cellIs" dxfId="367" priority="750" operator="equal">
      <formula>"Leve"</formula>
    </cfRule>
  </conditionalFormatting>
  <conditionalFormatting sqref="AG10:AG15">
    <cfRule type="cellIs" dxfId="366" priority="719" operator="equal">
      <formula>"Muy Alta"</formula>
    </cfRule>
    <cfRule type="cellIs" dxfId="365" priority="720" operator="equal">
      <formula>"Alta"</formula>
    </cfRule>
    <cfRule type="cellIs" dxfId="364" priority="721" operator="equal">
      <formula>"Media"</formula>
    </cfRule>
    <cfRule type="cellIs" dxfId="363" priority="722" operator="equal">
      <formula>"Baja"</formula>
    </cfRule>
    <cfRule type="cellIs" dxfId="362" priority="723" operator="equal">
      <formula>"Muy Baja"</formula>
    </cfRule>
  </conditionalFormatting>
  <conditionalFormatting sqref="AI10:AI11 AI13:AI15">
    <cfRule type="cellIs" dxfId="361" priority="714" operator="equal">
      <formula>"Catastrófico"</formula>
    </cfRule>
    <cfRule type="cellIs" dxfId="360" priority="715" operator="equal">
      <formula>"Mayor"</formula>
    </cfRule>
    <cfRule type="cellIs" dxfId="359" priority="716" operator="equal">
      <formula>"Moderado"</formula>
    </cfRule>
    <cfRule type="cellIs" dxfId="358" priority="717" operator="equal">
      <formula>"Menor"</formula>
    </cfRule>
    <cfRule type="cellIs" dxfId="357" priority="718" operator="equal">
      <formula>"Leve"</formula>
    </cfRule>
  </conditionalFormatting>
  <conditionalFormatting sqref="AI12">
    <cfRule type="cellIs" dxfId="356" priority="697" operator="equal">
      <formula>"Catastrófico"</formula>
    </cfRule>
    <cfRule type="cellIs" dxfId="355" priority="698" operator="equal">
      <formula>"Mayor"</formula>
    </cfRule>
    <cfRule type="cellIs" dxfId="354" priority="699" operator="equal">
      <formula>"Moderado"</formula>
    </cfRule>
    <cfRule type="cellIs" dxfId="353" priority="700" operator="equal">
      <formula>"Menor"</formula>
    </cfRule>
    <cfRule type="cellIs" dxfId="352" priority="701" operator="equal">
      <formula>"Leve"</formula>
    </cfRule>
  </conditionalFormatting>
  <conditionalFormatting sqref="AK10 AK13:AK15">
    <cfRule type="cellIs" dxfId="351" priority="693" operator="equal">
      <formula>"Extremo"</formula>
    </cfRule>
    <cfRule type="cellIs" dxfId="350" priority="694" operator="equal">
      <formula>"Alto"</formula>
    </cfRule>
    <cfRule type="cellIs" dxfId="349" priority="695" operator="equal">
      <formula>"Moderado"</formula>
    </cfRule>
    <cfRule type="cellIs" dxfId="348" priority="696" operator="equal">
      <formula>"Bajo"</formula>
    </cfRule>
  </conditionalFormatting>
  <conditionalFormatting sqref="AK11 AK13:AK15">
    <cfRule type="cellIs" dxfId="347" priority="689" operator="equal">
      <formula>"Extremo"</formula>
    </cfRule>
    <cfRule type="cellIs" dxfId="346" priority="690" operator="equal">
      <formula>"Alto"</formula>
    </cfRule>
    <cfRule type="cellIs" dxfId="345" priority="691" operator="equal">
      <formula>"Moderado"</formula>
    </cfRule>
    <cfRule type="cellIs" dxfId="344" priority="692" operator="equal">
      <formula>"Bajo"</formula>
    </cfRule>
  </conditionalFormatting>
  <conditionalFormatting sqref="AK12">
    <cfRule type="cellIs" dxfId="343" priority="685" operator="equal">
      <formula>"Extremo"</formula>
    </cfRule>
    <cfRule type="cellIs" dxfId="342" priority="686" operator="equal">
      <formula>"Alto"</formula>
    </cfRule>
    <cfRule type="cellIs" dxfId="341" priority="687" operator="equal">
      <formula>"Moderado"</formula>
    </cfRule>
    <cfRule type="cellIs" dxfId="340" priority="688" operator="equal">
      <formula>"Bajo"</formula>
    </cfRule>
  </conditionalFormatting>
  <conditionalFormatting sqref="AK16 AK19:AK21">
    <cfRule type="cellIs" dxfId="339" priority="681" operator="equal">
      <formula>"Extremo"</formula>
    </cfRule>
    <cfRule type="cellIs" dxfId="338" priority="682" operator="equal">
      <formula>"Alto"</formula>
    </cfRule>
    <cfRule type="cellIs" dxfId="337" priority="683" operator="equal">
      <formula>"Moderado"</formula>
    </cfRule>
    <cfRule type="cellIs" dxfId="336" priority="684" operator="equal">
      <formula>"Bajo"</formula>
    </cfRule>
  </conditionalFormatting>
  <conditionalFormatting sqref="AK17 AK19:AK21">
    <cfRule type="cellIs" dxfId="335" priority="677" operator="equal">
      <formula>"Extremo"</formula>
    </cfRule>
    <cfRule type="cellIs" dxfId="334" priority="678" operator="equal">
      <formula>"Alto"</formula>
    </cfRule>
    <cfRule type="cellIs" dxfId="333" priority="679" operator="equal">
      <formula>"Moderado"</formula>
    </cfRule>
    <cfRule type="cellIs" dxfId="332" priority="680" operator="equal">
      <formula>"Bajo"</formula>
    </cfRule>
  </conditionalFormatting>
  <conditionalFormatting sqref="AK18">
    <cfRule type="cellIs" dxfId="331" priority="673" operator="equal">
      <formula>"Extremo"</formula>
    </cfRule>
    <cfRule type="cellIs" dxfId="330" priority="674" operator="equal">
      <formula>"Alto"</formula>
    </cfRule>
    <cfRule type="cellIs" dxfId="329" priority="675" operator="equal">
      <formula>"Moderado"</formula>
    </cfRule>
    <cfRule type="cellIs" dxfId="328" priority="676" operator="equal">
      <formula>"Bajo"</formula>
    </cfRule>
  </conditionalFormatting>
  <conditionalFormatting sqref="AK22 AK25:AK27">
    <cfRule type="cellIs" dxfId="327" priority="669" operator="equal">
      <formula>"Extremo"</formula>
    </cfRule>
    <cfRule type="cellIs" dxfId="326" priority="670" operator="equal">
      <formula>"Alto"</formula>
    </cfRule>
    <cfRule type="cellIs" dxfId="325" priority="671" operator="equal">
      <formula>"Moderado"</formula>
    </cfRule>
    <cfRule type="cellIs" dxfId="324" priority="672" operator="equal">
      <formula>"Bajo"</formula>
    </cfRule>
  </conditionalFormatting>
  <conditionalFormatting sqref="AK23 AK25:AK27">
    <cfRule type="cellIs" dxfId="323" priority="665" operator="equal">
      <formula>"Extremo"</formula>
    </cfRule>
    <cfRule type="cellIs" dxfId="322" priority="666" operator="equal">
      <formula>"Alto"</formula>
    </cfRule>
    <cfRule type="cellIs" dxfId="321" priority="667" operator="equal">
      <formula>"Moderado"</formula>
    </cfRule>
    <cfRule type="cellIs" dxfId="320" priority="668" operator="equal">
      <formula>"Bajo"</formula>
    </cfRule>
  </conditionalFormatting>
  <conditionalFormatting sqref="AK24">
    <cfRule type="cellIs" dxfId="319" priority="661" operator="equal">
      <formula>"Extremo"</formula>
    </cfRule>
    <cfRule type="cellIs" dxfId="318" priority="662" operator="equal">
      <formula>"Alto"</formula>
    </cfRule>
    <cfRule type="cellIs" dxfId="317" priority="663" operator="equal">
      <formula>"Moderado"</formula>
    </cfRule>
    <cfRule type="cellIs" dxfId="316" priority="664" operator="equal">
      <formula>"Bajo"</formula>
    </cfRule>
  </conditionalFormatting>
  <conditionalFormatting sqref="AK28 AK31:AK33">
    <cfRule type="cellIs" dxfId="315" priority="657" operator="equal">
      <formula>"Extremo"</formula>
    </cfRule>
    <cfRule type="cellIs" dxfId="314" priority="658" operator="equal">
      <formula>"Alto"</formula>
    </cfRule>
    <cfRule type="cellIs" dxfId="313" priority="659" operator="equal">
      <formula>"Moderado"</formula>
    </cfRule>
    <cfRule type="cellIs" dxfId="312" priority="660" operator="equal">
      <formula>"Bajo"</formula>
    </cfRule>
  </conditionalFormatting>
  <conditionalFormatting sqref="AK29 AK31:AK33">
    <cfRule type="cellIs" dxfId="311" priority="653" operator="equal">
      <formula>"Extremo"</formula>
    </cfRule>
    <cfRule type="cellIs" dxfId="310" priority="654" operator="equal">
      <formula>"Alto"</formula>
    </cfRule>
    <cfRule type="cellIs" dxfId="309" priority="655" operator="equal">
      <formula>"Moderado"</formula>
    </cfRule>
    <cfRule type="cellIs" dxfId="308" priority="656" operator="equal">
      <formula>"Bajo"</formula>
    </cfRule>
  </conditionalFormatting>
  <conditionalFormatting sqref="AK30">
    <cfRule type="cellIs" dxfId="307" priority="649" operator="equal">
      <formula>"Extremo"</formula>
    </cfRule>
    <cfRule type="cellIs" dxfId="306" priority="650" operator="equal">
      <formula>"Alto"</formula>
    </cfRule>
    <cfRule type="cellIs" dxfId="305" priority="651" operator="equal">
      <formula>"Moderado"</formula>
    </cfRule>
    <cfRule type="cellIs" dxfId="304" priority="652" operator="equal">
      <formula>"Bajo"</formula>
    </cfRule>
  </conditionalFormatting>
  <conditionalFormatting sqref="AK34 AK37:AK39">
    <cfRule type="cellIs" dxfId="303" priority="645" operator="equal">
      <formula>"Extremo"</formula>
    </cfRule>
    <cfRule type="cellIs" dxfId="302" priority="646" operator="equal">
      <formula>"Alto"</formula>
    </cfRule>
    <cfRule type="cellIs" dxfId="301" priority="647" operator="equal">
      <formula>"Moderado"</formula>
    </cfRule>
    <cfRule type="cellIs" dxfId="300" priority="648" operator="equal">
      <formula>"Bajo"</formula>
    </cfRule>
  </conditionalFormatting>
  <conditionalFormatting sqref="AK35 AK37:AK39">
    <cfRule type="cellIs" dxfId="299" priority="641" operator="equal">
      <formula>"Extremo"</formula>
    </cfRule>
    <cfRule type="cellIs" dxfId="298" priority="642" operator="equal">
      <formula>"Alto"</formula>
    </cfRule>
    <cfRule type="cellIs" dxfId="297" priority="643" operator="equal">
      <formula>"Moderado"</formula>
    </cfRule>
    <cfRule type="cellIs" dxfId="296" priority="644" operator="equal">
      <formula>"Bajo"</formula>
    </cfRule>
  </conditionalFormatting>
  <conditionalFormatting sqref="AK36">
    <cfRule type="cellIs" dxfId="295" priority="637" operator="equal">
      <formula>"Extremo"</formula>
    </cfRule>
    <cfRule type="cellIs" dxfId="294" priority="638" operator="equal">
      <formula>"Alto"</formula>
    </cfRule>
    <cfRule type="cellIs" dxfId="293" priority="639" operator="equal">
      <formula>"Moderado"</formula>
    </cfRule>
    <cfRule type="cellIs" dxfId="292" priority="640" operator="equal">
      <formula>"Bajo"</formula>
    </cfRule>
  </conditionalFormatting>
  <conditionalFormatting sqref="AK40 AK43:AK45">
    <cfRule type="cellIs" dxfId="291" priority="633" operator="equal">
      <formula>"Extremo"</formula>
    </cfRule>
    <cfRule type="cellIs" dxfId="290" priority="634" operator="equal">
      <formula>"Alto"</formula>
    </cfRule>
    <cfRule type="cellIs" dxfId="289" priority="635" operator="equal">
      <formula>"Moderado"</formula>
    </cfRule>
    <cfRule type="cellIs" dxfId="288" priority="636" operator="equal">
      <formula>"Bajo"</formula>
    </cfRule>
  </conditionalFormatting>
  <conditionalFormatting sqref="AK41 AK43:AK45">
    <cfRule type="cellIs" dxfId="287" priority="629" operator="equal">
      <formula>"Extremo"</formula>
    </cfRule>
    <cfRule type="cellIs" dxfId="286" priority="630" operator="equal">
      <formula>"Alto"</formula>
    </cfRule>
    <cfRule type="cellIs" dxfId="285" priority="631" operator="equal">
      <formula>"Moderado"</formula>
    </cfRule>
    <cfRule type="cellIs" dxfId="284" priority="632" operator="equal">
      <formula>"Bajo"</formula>
    </cfRule>
  </conditionalFormatting>
  <conditionalFormatting sqref="AK42">
    <cfRule type="cellIs" dxfId="283" priority="625" operator="equal">
      <formula>"Extremo"</formula>
    </cfRule>
    <cfRule type="cellIs" dxfId="282" priority="626" operator="equal">
      <formula>"Alto"</formula>
    </cfRule>
    <cfRule type="cellIs" dxfId="281" priority="627" operator="equal">
      <formula>"Moderado"</formula>
    </cfRule>
    <cfRule type="cellIs" dxfId="280" priority="628" operator="equal">
      <formula>"Bajo"</formula>
    </cfRule>
  </conditionalFormatting>
  <conditionalFormatting sqref="AK46 AK49:AK51">
    <cfRule type="cellIs" dxfId="279" priority="621" operator="equal">
      <formula>"Extremo"</formula>
    </cfRule>
    <cfRule type="cellIs" dxfId="278" priority="622" operator="equal">
      <formula>"Alto"</formula>
    </cfRule>
    <cfRule type="cellIs" dxfId="277" priority="623" operator="equal">
      <formula>"Moderado"</formula>
    </cfRule>
    <cfRule type="cellIs" dxfId="276" priority="624" operator="equal">
      <formula>"Bajo"</formula>
    </cfRule>
  </conditionalFormatting>
  <conditionalFormatting sqref="AK47 AK49:AK51">
    <cfRule type="cellIs" dxfId="275" priority="617" operator="equal">
      <formula>"Extremo"</formula>
    </cfRule>
    <cfRule type="cellIs" dxfId="274" priority="618" operator="equal">
      <formula>"Alto"</formula>
    </cfRule>
    <cfRule type="cellIs" dxfId="273" priority="619" operator="equal">
      <formula>"Moderado"</formula>
    </cfRule>
    <cfRule type="cellIs" dxfId="272" priority="620" operator="equal">
      <formula>"Bajo"</formula>
    </cfRule>
  </conditionalFormatting>
  <conditionalFormatting sqref="AK48">
    <cfRule type="cellIs" dxfId="271" priority="613" operator="equal">
      <formula>"Extremo"</formula>
    </cfRule>
    <cfRule type="cellIs" dxfId="270" priority="614" operator="equal">
      <formula>"Alto"</formula>
    </cfRule>
    <cfRule type="cellIs" dxfId="269" priority="615" operator="equal">
      <formula>"Moderado"</formula>
    </cfRule>
    <cfRule type="cellIs" dxfId="268" priority="616" operator="equal">
      <formula>"Bajo"</formula>
    </cfRule>
  </conditionalFormatting>
  <conditionalFormatting sqref="AK52 AK55:AK57">
    <cfRule type="cellIs" dxfId="267" priority="609" operator="equal">
      <formula>"Extremo"</formula>
    </cfRule>
    <cfRule type="cellIs" dxfId="266" priority="610" operator="equal">
      <formula>"Alto"</formula>
    </cfRule>
    <cfRule type="cellIs" dxfId="265" priority="611" operator="equal">
      <formula>"Moderado"</formula>
    </cfRule>
    <cfRule type="cellIs" dxfId="264" priority="612" operator="equal">
      <formula>"Bajo"</formula>
    </cfRule>
  </conditionalFormatting>
  <conditionalFormatting sqref="AK53 AK55:AK57">
    <cfRule type="cellIs" dxfId="263" priority="605" operator="equal">
      <formula>"Extremo"</formula>
    </cfRule>
    <cfRule type="cellIs" dxfId="262" priority="606" operator="equal">
      <formula>"Alto"</formula>
    </cfRule>
    <cfRule type="cellIs" dxfId="261" priority="607" operator="equal">
      <formula>"Moderado"</formula>
    </cfRule>
    <cfRule type="cellIs" dxfId="260" priority="608" operator="equal">
      <formula>"Bajo"</formula>
    </cfRule>
  </conditionalFormatting>
  <conditionalFormatting sqref="AK54">
    <cfRule type="cellIs" dxfId="259" priority="601" operator="equal">
      <formula>"Extremo"</formula>
    </cfRule>
    <cfRule type="cellIs" dxfId="258" priority="602" operator="equal">
      <formula>"Alto"</formula>
    </cfRule>
    <cfRule type="cellIs" dxfId="257" priority="603" operator="equal">
      <formula>"Moderado"</formula>
    </cfRule>
    <cfRule type="cellIs" dxfId="256" priority="604" operator="equal">
      <formula>"Bajo"</formula>
    </cfRule>
  </conditionalFormatting>
  <conditionalFormatting sqref="P58">
    <cfRule type="cellIs" dxfId="255" priority="584" operator="equal">
      <formula>"Catastrófico"</formula>
    </cfRule>
    <cfRule type="cellIs" dxfId="254" priority="585" operator="equal">
      <formula>"Mayor"</formula>
    </cfRule>
    <cfRule type="cellIs" dxfId="253" priority="586" operator="equal">
      <formula>"Moderado"</formula>
    </cfRule>
    <cfRule type="cellIs" dxfId="252" priority="587" operator="equal">
      <formula>"Menor"</formula>
    </cfRule>
    <cfRule type="cellIs" dxfId="251" priority="588" operator="equal">
      <formula>"Leve"</formula>
    </cfRule>
  </conditionalFormatting>
  <conditionalFormatting sqref="AI58:AI63">
    <cfRule type="cellIs" dxfId="250" priority="579" operator="equal">
      <formula>"Catastrófico"</formula>
    </cfRule>
    <cfRule type="cellIs" dxfId="249" priority="580" operator="equal">
      <formula>"Mayor"</formula>
    </cfRule>
    <cfRule type="cellIs" dxfId="248" priority="581" operator="equal">
      <formula>"Moderado"</formula>
    </cfRule>
    <cfRule type="cellIs" dxfId="247" priority="582" operator="equal">
      <formula>"Menor"</formula>
    </cfRule>
    <cfRule type="cellIs" dxfId="246" priority="583" operator="equal">
      <formula>"Leve"</formula>
    </cfRule>
  </conditionalFormatting>
  <conditionalFormatting sqref="R58">
    <cfRule type="cellIs" dxfId="245" priority="575" operator="equal">
      <formula>"Extremo"</formula>
    </cfRule>
    <cfRule type="cellIs" dxfId="244" priority="576" operator="equal">
      <formula>"Alto"</formula>
    </cfRule>
    <cfRule type="cellIs" dxfId="243" priority="577" operator="equal">
      <formula>"Moderado"</formula>
    </cfRule>
    <cfRule type="cellIs" dxfId="242" priority="578" operator="equal">
      <formula>"Bajo"</formula>
    </cfRule>
  </conditionalFormatting>
  <conditionalFormatting sqref="AG58:AG63">
    <cfRule type="cellIs" dxfId="241" priority="570" operator="equal">
      <formula>"Muy Alta"</formula>
    </cfRule>
    <cfRule type="cellIs" dxfId="240" priority="571" operator="equal">
      <formula>"Alta"</formula>
    </cfRule>
    <cfRule type="cellIs" dxfId="239" priority="572" operator="equal">
      <formula>"Media"</formula>
    </cfRule>
    <cfRule type="cellIs" dxfId="238" priority="573" operator="equal">
      <formula>"Baja"</formula>
    </cfRule>
    <cfRule type="cellIs" dxfId="237" priority="574" operator="equal">
      <formula>"Muy Baja"</formula>
    </cfRule>
  </conditionalFormatting>
  <conditionalFormatting sqref="AI58:AI63">
    <cfRule type="cellIs" dxfId="236" priority="565" operator="equal">
      <formula>"Catastrófico"</formula>
    </cfRule>
    <cfRule type="cellIs" dxfId="235" priority="566" operator="equal">
      <formula>"Mayor"</formula>
    </cfRule>
    <cfRule type="cellIs" dxfId="234" priority="567" operator="equal">
      <formula>"Moderado"</formula>
    </cfRule>
    <cfRule type="cellIs" dxfId="233" priority="568" operator="equal">
      <formula>"Menor"</formula>
    </cfRule>
    <cfRule type="cellIs" dxfId="232" priority="569" operator="equal">
      <formula>"Leve"</formula>
    </cfRule>
  </conditionalFormatting>
  <conditionalFormatting sqref="O58:O63">
    <cfRule type="containsText" dxfId="231" priority="564" operator="containsText" text="❌">
      <formula>NOT(ISERROR(SEARCH("❌",O58)))</formula>
    </cfRule>
  </conditionalFormatting>
  <conditionalFormatting sqref="L58">
    <cfRule type="cellIs" dxfId="230" priority="559" operator="equal">
      <formula>"Muy Alta"</formula>
    </cfRule>
    <cfRule type="cellIs" dxfId="229" priority="560" operator="equal">
      <formula>"Alta"</formula>
    </cfRule>
    <cfRule type="cellIs" dxfId="228" priority="561" operator="equal">
      <formula>"Media"</formula>
    </cfRule>
    <cfRule type="cellIs" dxfId="227" priority="562" operator="equal">
      <formula>"Baja"</formula>
    </cfRule>
    <cfRule type="cellIs" dxfId="226" priority="563" operator="equal">
      <formula>"Muy Baja"</formula>
    </cfRule>
  </conditionalFormatting>
  <conditionalFormatting sqref="AK58 AK61:AK63">
    <cfRule type="cellIs" dxfId="225" priority="555" operator="equal">
      <formula>"Extremo"</formula>
    </cfRule>
    <cfRule type="cellIs" dxfId="224" priority="556" operator="equal">
      <formula>"Alto"</formula>
    </cfRule>
    <cfRule type="cellIs" dxfId="223" priority="557" operator="equal">
      <formula>"Moderado"</formula>
    </cfRule>
    <cfRule type="cellIs" dxfId="222" priority="558" operator="equal">
      <formula>"Bajo"</formula>
    </cfRule>
  </conditionalFormatting>
  <conditionalFormatting sqref="AK59 AK61:AK63">
    <cfRule type="cellIs" dxfId="221" priority="551" operator="equal">
      <formula>"Extremo"</formula>
    </cfRule>
    <cfRule type="cellIs" dxfId="220" priority="552" operator="equal">
      <formula>"Alto"</formula>
    </cfRule>
    <cfRule type="cellIs" dxfId="219" priority="553" operator="equal">
      <formula>"Moderado"</formula>
    </cfRule>
    <cfRule type="cellIs" dxfId="218" priority="554" operator="equal">
      <formula>"Bajo"</formula>
    </cfRule>
  </conditionalFormatting>
  <conditionalFormatting sqref="AK60">
    <cfRule type="cellIs" dxfId="217" priority="547" operator="equal">
      <formula>"Extremo"</formula>
    </cfRule>
    <cfRule type="cellIs" dxfId="216" priority="548" operator="equal">
      <formula>"Alto"</formula>
    </cfRule>
    <cfRule type="cellIs" dxfId="215" priority="549" operator="equal">
      <formula>"Moderado"</formula>
    </cfRule>
    <cfRule type="cellIs" dxfId="214" priority="550" operator="equal">
      <formula>"Bajo"</formula>
    </cfRule>
  </conditionalFormatting>
  <conditionalFormatting sqref="P64">
    <cfRule type="cellIs" dxfId="213" priority="374" operator="equal">
      <formula>"Catastrófico"</formula>
    </cfRule>
    <cfRule type="cellIs" dxfId="212" priority="375" operator="equal">
      <formula>"Mayor"</formula>
    </cfRule>
    <cfRule type="cellIs" dxfId="211" priority="376" operator="equal">
      <formula>"Moderado"</formula>
    </cfRule>
    <cfRule type="cellIs" dxfId="210" priority="377" operator="equal">
      <formula>"Menor"</formula>
    </cfRule>
    <cfRule type="cellIs" dxfId="209" priority="378" operator="equal">
      <formula>"Leve"</formula>
    </cfRule>
  </conditionalFormatting>
  <conditionalFormatting sqref="AI64:AI69">
    <cfRule type="cellIs" dxfId="208" priority="369" operator="equal">
      <formula>"Catastrófico"</formula>
    </cfRule>
    <cfRule type="cellIs" dxfId="207" priority="370" operator="equal">
      <formula>"Mayor"</formula>
    </cfRule>
    <cfRule type="cellIs" dxfId="206" priority="371" operator="equal">
      <formula>"Moderado"</formula>
    </cfRule>
    <cfRule type="cellIs" dxfId="205" priority="372" operator="equal">
      <formula>"Menor"</formula>
    </cfRule>
    <cfRule type="cellIs" dxfId="204" priority="373" operator="equal">
      <formula>"Leve"</formula>
    </cfRule>
  </conditionalFormatting>
  <conditionalFormatting sqref="R64">
    <cfRule type="cellIs" dxfId="203" priority="365" operator="equal">
      <formula>"Extremo"</formula>
    </cfRule>
    <cfRule type="cellIs" dxfId="202" priority="366" operator="equal">
      <formula>"Alto"</formula>
    </cfRule>
    <cfRule type="cellIs" dxfId="201" priority="367" operator="equal">
      <formula>"Moderado"</formula>
    </cfRule>
    <cfRule type="cellIs" dxfId="200" priority="368" operator="equal">
      <formula>"Bajo"</formula>
    </cfRule>
  </conditionalFormatting>
  <conditionalFormatting sqref="AG64:AG69">
    <cfRule type="cellIs" dxfId="199" priority="360" operator="equal">
      <formula>"Muy Alta"</formula>
    </cfRule>
    <cfRule type="cellIs" dxfId="198" priority="361" operator="equal">
      <formula>"Alta"</formula>
    </cfRule>
    <cfRule type="cellIs" dxfId="197" priority="362" operator="equal">
      <formula>"Media"</formula>
    </cfRule>
    <cfRule type="cellIs" dxfId="196" priority="363" operator="equal">
      <formula>"Baja"</formula>
    </cfRule>
    <cfRule type="cellIs" dxfId="195" priority="364" operator="equal">
      <formula>"Muy Baja"</formula>
    </cfRule>
  </conditionalFormatting>
  <conditionalFormatting sqref="AI64:AI69">
    <cfRule type="cellIs" dxfId="194" priority="355" operator="equal">
      <formula>"Catastrófico"</formula>
    </cfRule>
    <cfRule type="cellIs" dxfId="193" priority="356" operator="equal">
      <formula>"Mayor"</formula>
    </cfRule>
    <cfRule type="cellIs" dxfId="192" priority="357" operator="equal">
      <formula>"Moderado"</formula>
    </cfRule>
    <cfRule type="cellIs" dxfId="191" priority="358" operator="equal">
      <formula>"Menor"</formula>
    </cfRule>
    <cfRule type="cellIs" dxfId="190" priority="359" operator="equal">
      <formula>"Leve"</formula>
    </cfRule>
  </conditionalFormatting>
  <conditionalFormatting sqref="O64:O69">
    <cfRule type="containsText" dxfId="189" priority="354" operator="containsText" text="❌">
      <formula>NOT(ISERROR(SEARCH("❌",O64)))</formula>
    </cfRule>
  </conditionalFormatting>
  <conditionalFormatting sqref="L64">
    <cfRule type="cellIs" dxfId="188" priority="349" operator="equal">
      <formula>"Muy Alta"</formula>
    </cfRule>
    <cfRule type="cellIs" dxfId="187" priority="350" operator="equal">
      <formula>"Alta"</formula>
    </cfRule>
    <cfRule type="cellIs" dxfId="186" priority="351" operator="equal">
      <formula>"Media"</formula>
    </cfRule>
    <cfRule type="cellIs" dxfId="185" priority="352" operator="equal">
      <formula>"Baja"</formula>
    </cfRule>
    <cfRule type="cellIs" dxfId="184" priority="353" operator="equal">
      <formula>"Muy Baja"</formula>
    </cfRule>
  </conditionalFormatting>
  <conditionalFormatting sqref="AK64 AK67:AK69">
    <cfRule type="cellIs" dxfId="183" priority="345" operator="equal">
      <formula>"Extremo"</formula>
    </cfRule>
    <cfRule type="cellIs" dxfId="182" priority="346" operator="equal">
      <formula>"Alto"</formula>
    </cfRule>
    <cfRule type="cellIs" dxfId="181" priority="347" operator="equal">
      <formula>"Moderado"</formula>
    </cfRule>
    <cfRule type="cellIs" dxfId="180" priority="348" operator="equal">
      <formula>"Bajo"</formula>
    </cfRule>
  </conditionalFormatting>
  <conditionalFormatting sqref="AK65 AK67:AK69">
    <cfRule type="cellIs" dxfId="179" priority="341" operator="equal">
      <formula>"Extremo"</formula>
    </cfRule>
    <cfRule type="cellIs" dxfId="178" priority="342" operator="equal">
      <formula>"Alto"</formula>
    </cfRule>
    <cfRule type="cellIs" dxfId="177" priority="343" operator="equal">
      <formula>"Moderado"</formula>
    </cfRule>
    <cfRule type="cellIs" dxfId="176" priority="344" operator="equal">
      <formula>"Bajo"</formula>
    </cfRule>
  </conditionalFormatting>
  <conditionalFormatting sqref="AK66">
    <cfRule type="cellIs" dxfId="175" priority="337" operator="equal">
      <formula>"Extremo"</formula>
    </cfRule>
    <cfRule type="cellIs" dxfId="174" priority="338" operator="equal">
      <formula>"Alto"</formula>
    </cfRule>
    <cfRule type="cellIs" dxfId="173" priority="339" operator="equal">
      <formula>"Moderado"</formula>
    </cfRule>
    <cfRule type="cellIs" dxfId="172" priority="340" operator="equal">
      <formula>"Bajo"</formula>
    </cfRule>
  </conditionalFormatting>
  <conditionalFormatting sqref="P70">
    <cfRule type="cellIs" dxfId="171" priority="332" operator="equal">
      <formula>"Catastrófico"</formula>
    </cfRule>
    <cfRule type="cellIs" dxfId="170" priority="333" operator="equal">
      <formula>"Mayor"</formula>
    </cfRule>
    <cfRule type="cellIs" dxfId="169" priority="334" operator="equal">
      <formula>"Moderado"</formula>
    </cfRule>
    <cfRule type="cellIs" dxfId="168" priority="335" operator="equal">
      <formula>"Menor"</formula>
    </cfRule>
    <cfRule type="cellIs" dxfId="167" priority="336" operator="equal">
      <formula>"Leve"</formula>
    </cfRule>
  </conditionalFormatting>
  <conditionalFormatting sqref="AI70:AI75">
    <cfRule type="cellIs" dxfId="166" priority="327" operator="equal">
      <formula>"Catastrófico"</formula>
    </cfRule>
    <cfRule type="cellIs" dxfId="165" priority="328" operator="equal">
      <formula>"Mayor"</formula>
    </cfRule>
    <cfRule type="cellIs" dxfId="164" priority="329" operator="equal">
      <formula>"Moderado"</formula>
    </cfRule>
    <cfRule type="cellIs" dxfId="163" priority="330" operator="equal">
      <formula>"Menor"</formula>
    </cfRule>
    <cfRule type="cellIs" dxfId="162" priority="331" operator="equal">
      <formula>"Leve"</formula>
    </cfRule>
  </conditionalFormatting>
  <conditionalFormatting sqref="R70">
    <cfRule type="cellIs" dxfId="161" priority="323" operator="equal">
      <formula>"Extremo"</formula>
    </cfRule>
    <cfRule type="cellIs" dxfId="160" priority="324" operator="equal">
      <formula>"Alto"</formula>
    </cfRule>
    <cfRule type="cellIs" dxfId="159" priority="325" operator="equal">
      <formula>"Moderado"</formula>
    </cfRule>
    <cfRule type="cellIs" dxfId="158" priority="326" operator="equal">
      <formula>"Bajo"</formula>
    </cfRule>
  </conditionalFormatting>
  <conditionalFormatting sqref="AG70:AG75">
    <cfRule type="cellIs" dxfId="157" priority="318" operator="equal">
      <formula>"Muy Alta"</formula>
    </cfRule>
    <cfRule type="cellIs" dxfId="156" priority="319" operator="equal">
      <formula>"Alta"</formula>
    </cfRule>
    <cfRule type="cellIs" dxfId="155" priority="320" operator="equal">
      <formula>"Media"</formula>
    </cfRule>
    <cfRule type="cellIs" dxfId="154" priority="321" operator="equal">
      <formula>"Baja"</formula>
    </cfRule>
    <cfRule type="cellIs" dxfId="153" priority="322" operator="equal">
      <formula>"Muy Baja"</formula>
    </cfRule>
  </conditionalFormatting>
  <conditionalFormatting sqref="AI70:AI75">
    <cfRule type="cellIs" dxfId="152" priority="313" operator="equal">
      <formula>"Catastrófico"</formula>
    </cfRule>
    <cfRule type="cellIs" dxfId="151" priority="314" operator="equal">
      <formula>"Mayor"</formula>
    </cfRule>
    <cfRule type="cellIs" dxfId="150" priority="315" operator="equal">
      <formula>"Moderado"</formula>
    </cfRule>
    <cfRule type="cellIs" dxfId="149" priority="316" operator="equal">
      <formula>"Menor"</formula>
    </cfRule>
    <cfRule type="cellIs" dxfId="148" priority="317" operator="equal">
      <formula>"Leve"</formula>
    </cfRule>
  </conditionalFormatting>
  <conditionalFormatting sqref="O70:O75">
    <cfRule type="containsText" dxfId="147" priority="312" operator="containsText" text="❌">
      <formula>NOT(ISERROR(SEARCH("❌",O70)))</formula>
    </cfRule>
  </conditionalFormatting>
  <conditionalFormatting sqref="L70">
    <cfRule type="cellIs" dxfId="146" priority="307" operator="equal">
      <formula>"Muy Alta"</formula>
    </cfRule>
    <cfRule type="cellIs" dxfId="145" priority="308" operator="equal">
      <formula>"Alta"</formula>
    </cfRule>
    <cfRule type="cellIs" dxfId="144" priority="309" operator="equal">
      <formula>"Media"</formula>
    </cfRule>
    <cfRule type="cellIs" dxfId="143" priority="310" operator="equal">
      <formula>"Baja"</formula>
    </cfRule>
    <cfRule type="cellIs" dxfId="142" priority="311" operator="equal">
      <formula>"Muy Baja"</formula>
    </cfRule>
  </conditionalFormatting>
  <conditionalFormatting sqref="AK70 AK73:AK75">
    <cfRule type="cellIs" dxfId="141" priority="303" operator="equal">
      <formula>"Extremo"</formula>
    </cfRule>
    <cfRule type="cellIs" dxfId="140" priority="304" operator="equal">
      <formula>"Alto"</formula>
    </cfRule>
    <cfRule type="cellIs" dxfId="139" priority="305" operator="equal">
      <formula>"Moderado"</formula>
    </cfRule>
    <cfRule type="cellIs" dxfId="138" priority="306" operator="equal">
      <formula>"Bajo"</formula>
    </cfRule>
  </conditionalFormatting>
  <conditionalFormatting sqref="AK71 AK73:AK75">
    <cfRule type="cellIs" dxfId="137" priority="299" operator="equal">
      <formula>"Extremo"</formula>
    </cfRule>
    <cfRule type="cellIs" dxfId="136" priority="300" operator="equal">
      <formula>"Alto"</formula>
    </cfRule>
    <cfRule type="cellIs" dxfId="135" priority="301" operator="equal">
      <formula>"Moderado"</formula>
    </cfRule>
    <cfRule type="cellIs" dxfId="134" priority="302" operator="equal">
      <formula>"Bajo"</formula>
    </cfRule>
  </conditionalFormatting>
  <conditionalFormatting sqref="AK72">
    <cfRule type="cellIs" dxfId="133" priority="295" operator="equal">
      <formula>"Extremo"</formula>
    </cfRule>
    <cfRule type="cellIs" dxfId="132" priority="296" operator="equal">
      <formula>"Alto"</formula>
    </cfRule>
    <cfRule type="cellIs" dxfId="131" priority="297" operator="equal">
      <formula>"Moderado"</formula>
    </cfRule>
    <cfRule type="cellIs" dxfId="130" priority="298" operator="equal">
      <formula>"Bajo"</formula>
    </cfRule>
  </conditionalFormatting>
  <conditionalFormatting sqref="P76">
    <cfRule type="cellIs" dxfId="129" priority="290" operator="equal">
      <formula>"Catastrófico"</formula>
    </cfRule>
    <cfRule type="cellIs" dxfId="128" priority="291" operator="equal">
      <formula>"Mayor"</formula>
    </cfRule>
    <cfRule type="cellIs" dxfId="127" priority="292" operator="equal">
      <formula>"Moderado"</formula>
    </cfRule>
    <cfRule type="cellIs" dxfId="126" priority="293" operator="equal">
      <formula>"Menor"</formula>
    </cfRule>
    <cfRule type="cellIs" dxfId="125" priority="294" operator="equal">
      <formula>"Leve"</formula>
    </cfRule>
  </conditionalFormatting>
  <conditionalFormatting sqref="AI76:AI81">
    <cfRule type="cellIs" dxfId="124" priority="285" operator="equal">
      <formula>"Catastrófico"</formula>
    </cfRule>
    <cfRule type="cellIs" dxfId="123" priority="286" operator="equal">
      <formula>"Mayor"</formula>
    </cfRule>
    <cfRule type="cellIs" dxfId="122" priority="287" operator="equal">
      <formula>"Moderado"</formula>
    </cfRule>
    <cfRule type="cellIs" dxfId="121" priority="288" operator="equal">
      <formula>"Menor"</formula>
    </cfRule>
    <cfRule type="cellIs" dxfId="120" priority="289" operator="equal">
      <formula>"Leve"</formula>
    </cfRule>
  </conditionalFormatting>
  <conditionalFormatting sqref="R76">
    <cfRule type="cellIs" dxfId="119" priority="281" operator="equal">
      <formula>"Extremo"</formula>
    </cfRule>
    <cfRule type="cellIs" dxfId="118" priority="282" operator="equal">
      <formula>"Alto"</formula>
    </cfRule>
    <cfRule type="cellIs" dxfId="117" priority="283" operator="equal">
      <formula>"Moderado"</formula>
    </cfRule>
    <cfRule type="cellIs" dxfId="116" priority="284" operator="equal">
      <formula>"Bajo"</formula>
    </cfRule>
  </conditionalFormatting>
  <conditionalFormatting sqref="AG76:AG81">
    <cfRule type="cellIs" dxfId="115" priority="276" operator="equal">
      <formula>"Muy Alta"</formula>
    </cfRule>
    <cfRule type="cellIs" dxfId="114" priority="277" operator="equal">
      <formula>"Alta"</formula>
    </cfRule>
    <cfRule type="cellIs" dxfId="113" priority="278" operator="equal">
      <formula>"Media"</formula>
    </cfRule>
    <cfRule type="cellIs" dxfId="112" priority="279" operator="equal">
      <formula>"Baja"</formula>
    </cfRule>
    <cfRule type="cellIs" dxfId="111" priority="280" operator="equal">
      <formula>"Muy Baja"</formula>
    </cfRule>
  </conditionalFormatting>
  <conditionalFormatting sqref="AI76:AI81">
    <cfRule type="cellIs" dxfId="110" priority="271" operator="equal">
      <formula>"Catastrófico"</formula>
    </cfRule>
    <cfRule type="cellIs" dxfId="109" priority="272" operator="equal">
      <formula>"Mayor"</formula>
    </cfRule>
    <cfRule type="cellIs" dxfId="108" priority="273" operator="equal">
      <formula>"Moderado"</formula>
    </cfRule>
    <cfRule type="cellIs" dxfId="107" priority="274" operator="equal">
      <formula>"Menor"</formula>
    </cfRule>
    <cfRule type="cellIs" dxfId="106" priority="275" operator="equal">
      <formula>"Leve"</formula>
    </cfRule>
  </conditionalFormatting>
  <conditionalFormatting sqref="O76:O81">
    <cfRule type="containsText" dxfId="105" priority="270" operator="containsText" text="❌">
      <formula>NOT(ISERROR(SEARCH("❌",O76)))</formula>
    </cfRule>
  </conditionalFormatting>
  <conditionalFormatting sqref="L76">
    <cfRule type="cellIs" dxfId="104" priority="265" operator="equal">
      <formula>"Muy Alta"</formula>
    </cfRule>
    <cfRule type="cellIs" dxfId="103" priority="266" operator="equal">
      <formula>"Alta"</formula>
    </cfRule>
    <cfRule type="cellIs" dxfId="102" priority="267" operator="equal">
      <formula>"Media"</formula>
    </cfRule>
    <cfRule type="cellIs" dxfId="101" priority="268" operator="equal">
      <formula>"Baja"</formula>
    </cfRule>
    <cfRule type="cellIs" dxfId="100" priority="269" operator="equal">
      <formula>"Muy Baja"</formula>
    </cfRule>
  </conditionalFormatting>
  <conditionalFormatting sqref="AK76 AK79:AK81">
    <cfRule type="cellIs" dxfId="99" priority="261" operator="equal">
      <formula>"Extremo"</formula>
    </cfRule>
    <cfRule type="cellIs" dxfId="98" priority="262" operator="equal">
      <formula>"Alto"</formula>
    </cfRule>
    <cfRule type="cellIs" dxfId="97" priority="263" operator="equal">
      <formula>"Moderado"</formula>
    </cfRule>
    <cfRule type="cellIs" dxfId="96" priority="264" operator="equal">
      <formula>"Bajo"</formula>
    </cfRule>
  </conditionalFormatting>
  <conditionalFormatting sqref="AK77 AK79:AK81">
    <cfRule type="cellIs" dxfId="95" priority="257" operator="equal">
      <formula>"Extremo"</formula>
    </cfRule>
    <cfRule type="cellIs" dxfId="94" priority="258" operator="equal">
      <formula>"Alto"</formula>
    </cfRule>
    <cfRule type="cellIs" dxfId="93" priority="259" operator="equal">
      <formula>"Moderado"</formula>
    </cfRule>
    <cfRule type="cellIs" dxfId="92" priority="260" operator="equal">
      <formula>"Bajo"</formula>
    </cfRule>
  </conditionalFormatting>
  <conditionalFormatting sqref="AK78">
    <cfRule type="cellIs" dxfId="91" priority="253" operator="equal">
      <formula>"Extremo"</formula>
    </cfRule>
    <cfRule type="cellIs" dxfId="90" priority="254" operator="equal">
      <formula>"Alto"</formula>
    </cfRule>
    <cfRule type="cellIs" dxfId="89" priority="255" operator="equal">
      <formula>"Moderado"</formula>
    </cfRule>
    <cfRule type="cellIs" dxfId="88" priority="256" operator="equal">
      <formula>"Bajo"</formula>
    </cfRule>
  </conditionalFormatting>
  <conditionalFormatting sqref="P82">
    <cfRule type="cellIs" dxfId="87" priority="122" operator="equal">
      <formula>"Catastrófico"</formula>
    </cfRule>
    <cfRule type="cellIs" dxfId="86" priority="123" operator="equal">
      <formula>"Mayor"</formula>
    </cfRule>
    <cfRule type="cellIs" dxfId="85" priority="124" operator="equal">
      <formula>"Moderado"</formula>
    </cfRule>
    <cfRule type="cellIs" dxfId="84" priority="125" operator="equal">
      <formula>"Menor"</formula>
    </cfRule>
    <cfRule type="cellIs" dxfId="83" priority="126" operator="equal">
      <formula>"Leve"</formula>
    </cfRule>
  </conditionalFormatting>
  <conditionalFormatting sqref="AI82:AI87">
    <cfRule type="cellIs" dxfId="82" priority="117" operator="equal">
      <formula>"Catastrófico"</formula>
    </cfRule>
    <cfRule type="cellIs" dxfId="81" priority="118" operator="equal">
      <formula>"Mayor"</formula>
    </cfRule>
    <cfRule type="cellIs" dxfId="80" priority="119" operator="equal">
      <formula>"Moderado"</formula>
    </cfRule>
    <cfRule type="cellIs" dxfId="79" priority="120" operator="equal">
      <formula>"Menor"</formula>
    </cfRule>
    <cfRule type="cellIs" dxfId="78" priority="121" operator="equal">
      <formula>"Leve"</formula>
    </cfRule>
  </conditionalFormatting>
  <conditionalFormatting sqref="R82">
    <cfRule type="cellIs" dxfId="77" priority="113" operator="equal">
      <formula>"Extremo"</formula>
    </cfRule>
    <cfRule type="cellIs" dxfId="76" priority="114" operator="equal">
      <formula>"Alto"</formula>
    </cfRule>
    <cfRule type="cellIs" dxfId="75" priority="115" operator="equal">
      <formula>"Moderado"</formula>
    </cfRule>
    <cfRule type="cellIs" dxfId="74" priority="116" operator="equal">
      <formula>"Bajo"</formula>
    </cfRule>
  </conditionalFormatting>
  <conditionalFormatting sqref="AG82:AG87">
    <cfRule type="cellIs" dxfId="73" priority="108" operator="equal">
      <formula>"Muy Alta"</formula>
    </cfRule>
    <cfRule type="cellIs" dxfId="72" priority="109" operator="equal">
      <formula>"Alta"</formula>
    </cfRule>
    <cfRule type="cellIs" dxfId="71" priority="110" operator="equal">
      <formula>"Media"</formula>
    </cfRule>
    <cfRule type="cellIs" dxfId="70" priority="111" operator="equal">
      <formula>"Baja"</formula>
    </cfRule>
    <cfRule type="cellIs" dxfId="69" priority="112" operator="equal">
      <formula>"Muy Baja"</formula>
    </cfRule>
  </conditionalFormatting>
  <conditionalFormatting sqref="AI82:AI87">
    <cfRule type="cellIs" dxfId="68" priority="103" operator="equal">
      <formula>"Catastrófico"</formula>
    </cfRule>
    <cfRule type="cellIs" dxfId="67" priority="104" operator="equal">
      <formula>"Mayor"</formula>
    </cfRule>
    <cfRule type="cellIs" dxfId="66" priority="105" operator="equal">
      <formula>"Moderado"</formula>
    </cfRule>
    <cfRule type="cellIs" dxfId="65" priority="106" operator="equal">
      <formula>"Menor"</formula>
    </cfRule>
    <cfRule type="cellIs" dxfId="64" priority="107" operator="equal">
      <formula>"Leve"</formula>
    </cfRule>
  </conditionalFormatting>
  <conditionalFormatting sqref="O82:O87">
    <cfRule type="containsText" dxfId="63" priority="102" operator="containsText" text="❌">
      <formula>NOT(ISERROR(SEARCH("❌",O82)))</formula>
    </cfRule>
  </conditionalFormatting>
  <conditionalFormatting sqref="L82">
    <cfRule type="cellIs" dxfId="62" priority="97" operator="equal">
      <formula>"Muy Alta"</formula>
    </cfRule>
    <cfRule type="cellIs" dxfId="61" priority="98" operator="equal">
      <formula>"Alta"</formula>
    </cfRule>
    <cfRule type="cellIs" dxfId="60" priority="99" operator="equal">
      <formula>"Media"</formula>
    </cfRule>
    <cfRule type="cellIs" dxfId="59" priority="100" operator="equal">
      <formula>"Baja"</formula>
    </cfRule>
    <cfRule type="cellIs" dxfId="58" priority="101" operator="equal">
      <formula>"Muy Baja"</formula>
    </cfRule>
  </conditionalFormatting>
  <conditionalFormatting sqref="AK82 AK85:AK87">
    <cfRule type="cellIs" dxfId="57" priority="93" operator="equal">
      <formula>"Extremo"</formula>
    </cfRule>
    <cfRule type="cellIs" dxfId="56" priority="94" operator="equal">
      <formula>"Alto"</formula>
    </cfRule>
    <cfRule type="cellIs" dxfId="55" priority="95" operator="equal">
      <formula>"Moderado"</formula>
    </cfRule>
    <cfRule type="cellIs" dxfId="54" priority="96" operator="equal">
      <formula>"Bajo"</formula>
    </cfRule>
  </conditionalFormatting>
  <conditionalFormatting sqref="AK83 AK85:AK87">
    <cfRule type="cellIs" dxfId="53" priority="89" operator="equal">
      <formula>"Extremo"</formula>
    </cfRule>
    <cfRule type="cellIs" dxfId="52" priority="90" operator="equal">
      <formula>"Alto"</formula>
    </cfRule>
    <cfRule type="cellIs" dxfId="51" priority="91" operator="equal">
      <formula>"Moderado"</formula>
    </cfRule>
    <cfRule type="cellIs" dxfId="50" priority="92" operator="equal">
      <formula>"Bajo"</formula>
    </cfRule>
  </conditionalFormatting>
  <conditionalFormatting sqref="AK84">
    <cfRule type="cellIs" dxfId="49" priority="85" operator="equal">
      <formula>"Extremo"</formula>
    </cfRule>
    <cfRule type="cellIs" dxfId="48" priority="86" operator="equal">
      <formula>"Alto"</formula>
    </cfRule>
    <cfRule type="cellIs" dxfId="47" priority="87" operator="equal">
      <formula>"Moderado"</formula>
    </cfRule>
    <cfRule type="cellIs" dxfId="46" priority="88" operator="equal">
      <formula>"Bajo"</formula>
    </cfRule>
  </conditionalFormatting>
  <conditionalFormatting sqref="P88">
    <cfRule type="cellIs" dxfId="45" priority="38" operator="equal">
      <formula>"Catastrófico"</formula>
    </cfRule>
    <cfRule type="cellIs" dxfId="44" priority="39" operator="equal">
      <formula>"Mayor"</formula>
    </cfRule>
    <cfRule type="cellIs" dxfId="43" priority="40" operator="equal">
      <formula>"Moderado"</formula>
    </cfRule>
    <cfRule type="cellIs" dxfId="42" priority="41" operator="equal">
      <formula>"Menor"</formula>
    </cfRule>
    <cfRule type="cellIs" dxfId="41" priority="42" operator="equal">
      <formula>"Leve"</formula>
    </cfRule>
  </conditionalFormatting>
  <conditionalFormatting sqref="AI88:AI93">
    <cfRule type="cellIs" dxfId="40" priority="33" operator="equal">
      <formula>"Catastrófico"</formula>
    </cfRule>
    <cfRule type="cellIs" dxfId="39" priority="34" operator="equal">
      <formula>"Mayor"</formula>
    </cfRule>
    <cfRule type="cellIs" dxfId="38" priority="35" operator="equal">
      <formula>"Moderado"</formula>
    </cfRule>
    <cfRule type="cellIs" dxfId="37" priority="36" operator="equal">
      <formula>"Menor"</formula>
    </cfRule>
    <cfRule type="cellIs" dxfId="36" priority="37" operator="equal">
      <formula>"Leve"</formula>
    </cfRule>
  </conditionalFormatting>
  <conditionalFormatting sqref="R88">
    <cfRule type="cellIs" dxfId="35" priority="29" operator="equal">
      <formula>"Extremo"</formula>
    </cfRule>
    <cfRule type="cellIs" dxfId="34" priority="30" operator="equal">
      <formula>"Alto"</formula>
    </cfRule>
    <cfRule type="cellIs" dxfId="33" priority="31" operator="equal">
      <formula>"Moderado"</formula>
    </cfRule>
    <cfRule type="cellIs" dxfId="32" priority="32" operator="equal">
      <formula>"Bajo"</formula>
    </cfRule>
  </conditionalFormatting>
  <conditionalFormatting sqref="AG88:AG93">
    <cfRule type="cellIs" dxfId="31" priority="24" operator="equal">
      <formula>"Muy Alta"</formula>
    </cfRule>
    <cfRule type="cellIs" dxfId="30" priority="25" operator="equal">
      <formula>"Alta"</formula>
    </cfRule>
    <cfRule type="cellIs" dxfId="29" priority="26" operator="equal">
      <formula>"Media"</formula>
    </cfRule>
    <cfRule type="cellIs" dxfId="28" priority="27" operator="equal">
      <formula>"Baja"</formula>
    </cfRule>
    <cfRule type="cellIs" dxfId="27" priority="28" operator="equal">
      <formula>"Muy Baja"</formula>
    </cfRule>
  </conditionalFormatting>
  <conditionalFormatting sqref="AI88:AI93">
    <cfRule type="cellIs" dxfId="26" priority="19" operator="equal">
      <formula>"Catastrófico"</formula>
    </cfRule>
    <cfRule type="cellIs" dxfId="25" priority="20" operator="equal">
      <formula>"Mayor"</formula>
    </cfRule>
    <cfRule type="cellIs" dxfId="24" priority="21" operator="equal">
      <formula>"Moderado"</formula>
    </cfRule>
    <cfRule type="cellIs" dxfId="23" priority="22" operator="equal">
      <formula>"Menor"</formula>
    </cfRule>
    <cfRule type="cellIs" dxfId="22" priority="23" operator="equal">
      <formula>"Leve"</formula>
    </cfRule>
  </conditionalFormatting>
  <conditionalFormatting sqref="O88:O93">
    <cfRule type="containsText" dxfId="21" priority="18" operator="containsText" text="❌">
      <formula>NOT(ISERROR(SEARCH("❌",O88)))</formula>
    </cfRule>
  </conditionalFormatting>
  <conditionalFormatting sqref="L88">
    <cfRule type="cellIs" dxfId="20" priority="13" operator="equal">
      <formula>"Muy Alta"</formula>
    </cfRule>
    <cfRule type="cellIs" dxfId="19" priority="14" operator="equal">
      <formula>"Alta"</formula>
    </cfRule>
    <cfRule type="cellIs" dxfId="18" priority="15" operator="equal">
      <formula>"Media"</formula>
    </cfRule>
    <cfRule type="cellIs" dxfId="17" priority="16" operator="equal">
      <formula>"Baja"</formula>
    </cfRule>
    <cfRule type="cellIs" dxfId="16" priority="17" operator="equal">
      <formula>"Muy Baja"</formula>
    </cfRule>
  </conditionalFormatting>
  <conditionalFormatting sqref="AK88 AK91:AK93">
    <cfRule type="cellIs" dxfId="15" priority="9" operator="equal">
      <formula>"Extremo"</formula>
    </cfRule>
    <cfRule type="cellIs" dxfId="14" priority="10" operator="equal">
      <formula>"Alto"</formula>
    </cfRule>
    <cfRule type="cellIs" dxfId="13" priority="11" operator="equal">
      <formula>"Moderado"</formula>
    </cfRule>
    <cfRule type="cellIs" dxfId="12" priority="12" operator="equal">
      <formula>"Bajo"</formula>
    </cfRule>
  </conditionalFormatting>
  <conditionalFormatting sqref="AK89 AK91:AK93">
    <cfRule type="cellIs" dxfId="11" priority="5" operator="equal">
      <formula>"Extremo"</formula>
    </cfRule>
    <cfRule type="cellIs" dxfId="10" priority="6" operator="equal">
      <formula>"Alto"</formula>
    </cfRule>
    <cfRule type="cellIs" dxfId="9" priority="7" operator="equal">
      <formula>"Moderado"</formula>
    </cfRule>
    <cfRule type="cellIs" dxfId="8" priority="8" operator="equal">
      <formula>"Bajo"</formula>
    </cfRule>
  </conditionalFormatting>
  <conditionalFormatting sqref="AK90">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dataValidations count="3">
    <dataValidation allowBlank="1" showDropDown="1" showInputMessage="1" showErrorMessage="1" sqref="J76 J4 J10 J16 J22 J28 J46 J52 J34 J40 J58 J70 J82 J64 J88"/>
    <dataValidation type="list" allowBlank="1" showInputMessage="1" showErrorMessage="1" error="Recuerde que las acciones se generan bajo la medida de mitigar el riesgo" sqref="AO4:AO93">
      <formula1>CONTROLG</formula1>
    </dataValidation>
    <dataValidation type="list" allowBlank="1" showInputMessage="1" showErrorMessage="1" error="Recuerde que las acciones se generan bajo la medida de mitigar el riesgo" sqref="AP4:AQ93">
      <formula1>INDIRECT((SUBSTITUTE(AO4," ","_")))</formula1>
    </dataValidation>
  </dataValidations>
  <pageMargins left="0.70866141732283472" right="0.70866141732283472" top="0.74803149606299213" bottom="0.74803149606299213" header="0.31496062992125984" footer="0.31496062992125984"/>
  <pageSetup paperSize="41" scale="35" orientation="landscape" r:id="rId1"/>
  <legacyDrawing r:id="rId2"/>
  <extLst>
    <ext xmlns:x14="http://schemas.microsoft.com/office/spreadsheetml/2009/9/main" uri="{CCE6A557-97BC-4b89-ADB6-D9C93CAAB3DF}">
      <x14:dataValidations xmlns:xm="http://schemas.microsoft.com/office/excel/2006/main" count="23">
        <x14:dataValidation type="list" allowBlank="1" showInputMessage="1" showErrorMessage="1">
          <x14:formula1>
            <xm:f>'Opciones Tratamiento'!$B$9:$B$10</xm:f>
          </x14:formula1>
          <xm:sqref>AU13:AU14 AU16:AU17 AU19:AU20 AU22:AU26 AU28:AU29 AU31:AU32 AU34:AU35 AU37:AU38 AU40:AU41 AU43:AU44 AU46:AU50 AU52:AU56 AU5:AU9 AU61:AU62 AU58:AU59 AU67:AU68 AU64:AU65 AU73:AU74 AU70:AU71 AU79:AU80 AU76:AU77 AU85:AU86 AU82:AU83 AU91:AU92 AU88:AU89</xm:sqref>
        </x14:dataValidation>
        <x14:dataValidation type="custom" allowBlank="1" showInputMessage="1" showErrorMessage="1" error="Recuerde que las acciones se generan bajo la medida de mitigar el riesgo">
          <x14:formula1>
            <xm:f>IF(OR(AL5='Opciones Tratamiento'!$B$2,AL5='Opciones Tratamiento'!$B$3,AL5='Opciones Tratamiento'!$B$4),ISBLANK(AL5),ISTEXT(AL5))</xm:f>
          </x14:formula1>
          <xm:sqref>AR5:AR9 AS28 AS22:AS24 AR12:AR93</xm:sqref>
        </x14:dataValidation>
        <x14:dataValidation type="custom" allowBlank="1" showInputMessage="1" showErrorMessage="1" error="Recuerde que las acciones se generan bajo la medida de mitigar el riesgo">
          <x14:formula1>
            <xm:f>IF(OR(AL5='Opciones Tratamiento'!$B$2,AL5='Opciones Tratamiento'!$B$3,AL5='Opciones Tratamiento'!$B$4),ISBLANK(AL5),ISTEXT(AL5))</xm:f>
          </x14:formula1>
          <xm:sqref>AS5:AS9 AS12:AS21 AS25:AS27 AS29:AS93</xm:sqref>
        </x14:dataValidation>
        <x14:dataValidation type="custom" allowBlank="1" showInputMessage="1" showErrorMessage="1" error="Recuerde que las acciones se generan bajo la medida de mitigar el riesgo">
          <x14:formula1>
            <xm:f>IF(OR(AL5='Opciones Tratamiento'!$B$2,AL5='Opciones Tratamiento'!$B$3,AL5='Opciones Tratamiento'!$B$4),ISBLANK(AL5),ISTEXT(AL5))</xm:f>
          </x14:formula1>
          <xm:sqref>AT5:AT9 AT12:AT93</xm:sqref>
        </x14:dataValidation>
        <x14:dataValidation type="custom" allowBlank="1" showInputMessage="1" showErrorMessage="1" error="Recuerde que las acciones se generan bajo la medida de mitigar el riesgo">
          <x14:formula1>
            <xm:f>IF(OR(AL4='C:\Users\willyvijalba\Downloads\[FORMATO DE RIESGO consolidado.xlsx]Opciones Tratamiento'!#REF!,AL4='C:\Users\willyvijalba\Downloads\[FORMATO DE RIESGO consolidado.xlsx]Opciones Tratamiento'!#REF!,AL4='C:\Users\willyvijalba\Downloads\[FORMATO DE RIESGO consolidado.xlsx]Opciones Tratamiento'!#REF!),ISBLANK(AL4),ISTEXT(AL4))</xm:f>
          </x14:formula1>
          <xm:sqref>AT4 AT10:AT11</xm:sqref>
        </x14:dataValidation>
        <x14:dataValidation type="custom" allowBlank="1" showInputMessage="1" showErrorMessage="1" error="Recuerde que las acciones se generan bajo la medida de mitigar el riesgo">
          <x14:formula1>
            <xm:f>IF(OR(AL4='C:\Users\willyvijalba\Downloads\[FORMATO DE RIESGO consolidado.xlsx]Opciones Tratamiento'!#REF!,AL4='C:\Users\willyvijalba\Downloads\[FORMATO DE RIESGO consolidado.xlsx]Opciones Tratamiento'!#REF!,AL4='C:\Users\willyvijalba\Downloads\[FORMATO DE RIESGO consolidado.xlsx]Opciones Tratamiento'!#REF!),ISBLANK(AL4),ISTEXT(AL4))</xm:f>
          </x14:formula1>
          <xm:sqref>AS4 AS10:AS11</xm:sqref>
        </x14:dataValidation>
        <x14:dataValidation type="custom" allowBlank="1" showInputMessage="1" showErrorMessage="1" error="Recuerde que las acciones se generan bajo la medida de mitigar el riesgo">
          <x14:formula1>
            <xm:f>IF(OR(AL4='C:\Users\willyvijalba\Downloads\[FORMATO DE RIESGO consolidado.xlsx]Opciones Tratamiento'!#REF!,AL4='C:\Users\willyvijalba\Downloads\[FORMATO DE RIESGO consolidado.xlsx]Opciones Tratamiento'!#REF!,AL4='C:\Users\willyvijalba\Downloads\[FORMATO DE RIESGO consolidado.xlsx]Opciones Tratamiento'!#REF!),ISBLANK(AL4),ISTEXT(AL4))</xm:f>
          </x14:formula1>
          <xm:sqref>AR4 AR10:AR11</xm:sqref>
        </x14:dataValidation>
        <x14:dataValidation type="list" allowBlank="1" showInputMessage="1" showErrorMessage="1">
          <x14:formula1>
            <xm:f>'C:\Users\willyvijalba\Downloads\[FORMATO DE RIESGO consolidado.xlsx]Opciones Tratamiento'!#REF!</xm:f>
          </x14:formula1>
          <xm:sqref>AU4 AU10:AU11</xm:sqref>
        </x14:dataValidation>
        <x14:dataValidation type="list" allowBlank="1" showInputMessage="1" showErrorMessage="1">
          <x14:formula1>
            <xm:f>'Tabla Valoración controles'!$D$4:$D$6</xm:f>
          </x14:formula1>
          <xm:sqref>U4:U93</xm:sqref>
        </x14:dataValidation>
        <x14:dataValidation type="list" allowBlank="1" showInputMessage="1" showErrorMessage="1">
          <x14:formula1>
            <xm:f>'Tabla Valoración controles'!$D$7:$D$8</xm:f>
          </x14:formula1>
          <xm:sqref>V4:V93</xm:sqref>
        </x14:dataValidation>
        <x14:dataValidation type="list" allowBlank="1" showInputMessage="1" showErrorMessage="1">
          <x14:formula1>
            <xm:f>'Tabla Valoración controles'!$D$9:$D$10</xm:f>
          </x14:formula1>
          <xm:sqref>X4:X93</xm:sqref>
        </x14:dataValidation>
        <x14:dataValidation type="list" allowBlank="1" showInputMessage="1" showErrorMessage="1">
          <x14:formula1>
            <xm:f>'Tabla Valoración controles'!$D$11:$D$12</xm:f>
          </x14:formula1>
          <xm:sqref>Y4:Y93</xm:sqref>
        </x14:dataValidation>
        <x14:dataValidation type="list" allowBlank="1" showInputMessage="1" showErrorMessage="1">
          <x14:formula1>
            <xm:f>'Tabla Valoración controles'!$D$13:$D$14</xm:f>
          </x14:formula1>
          <xm:sqref>Z4:Z93</xm:sqref>
        </x14:dataValidation>
        <x14:dataValidation type="list" allowBlank="1" showInputMessage="1" showErrorMessage="1">
          <x14:formula1>
            <xm:f>'Opciones Tratamiento'!$B$13:$B$19</xm:f>
          </x14:formula1>
          <xm:sqref>H4:H93</xm:sqref>
        </x14:dataValidation>
        <x14:dataValidation type="list" allowBlank="1" showInputMessage="1" showErrorMessage="1">
          <x14:formula1>
            <xm:f>'Opciones Tratamiento'!$E$2:$E$4</xm:f>
          </x14:formula1>
          <xm:sqref>D4:D93</xm:sqref>
        </x14:dataValidation>
        <x14:dataValidation type="list" allowBlank="1" showInputMessage="1" showErrorMessage="1">
          <x14:formula1>
            <xm:f>'Opciones Tratamiento'!$B$2:$B$5</xm:f>
          </x14:formula1>
          <xm:sqref>AL4:AL93</xm:sqref>
        </x14:dataValidation>
        <x14:dataValidation type="list" allowBlank="1" showInputMessage="1" showErrorMessage="1">
          <x14:formula1>
            <xm:f>'Tabla Impacto'!$F$210:$F$221</xm:f>
          </x14:formula1>
          <xm:sqref>N4:N93</xm:sqref>
        </x14:dataValidation>
        <x14:dataValidation type="list" allowBlank="1" showInputMessage="1" showErrorMessage="1">
          <x14:formula1>
            <xm:f>'Tabla Valoración controles'!$C$15:$C$28</xm:f>
          </x14:formula1>
          <xm:sqref>C4:C93</xm:sqref>
        </x14:dataValidation>
        <x14:dataValidation type="list" allowBlank="1" showInputMessage="1" showErrorMessage="1">
          <x14:formula1>
            <xm:f>'Tabla Valoración controles'!$C$182:$C$196</xm:f>
          </x14:formula1>
          <xm:sqref>I4:I93</xm:sqref>
        </x14:dataValidation>
        <x14:dataValidation type="list" allowBlank="1" showInputMessage="1" showErrorMessage="1">
          <x14:formula1>
            <xm:f>'Tabla probabilidad'!$C$4:$C$8</xm:f>
          </x14:formula1>
          <xm:sqref>K4:K93</xm:sqref>
        </x14:dataValidation>
        <x14:dataValidation type="list" allowBlank="1" showInputMessage="1" showErrorMessage="1">
          <x14:formula1>
            <xm:f>'Tabla Valoración controles'!$C$197:$C$199</xm:f>
          </x14:formula1>
          <xm:sqref>AF4:AF93</xm:sqref>
        </x14:dataValidation>
        <x14:dataValidation type="custom" allowBlank="1" showInputMessage="1" showErrorMessage="1" error="Recuerde que las acciones se generan bajo la medida de mitigar el riesgo">
          <x14:formula1>
            <xm:f>IF(OR(AL4='Opciones Tratamiento'!$B$2,AL4='Opciones Tratamiento'!$B$3,AL4='Opciones Tratamiento'!$B$4),ISBLANK(AL4),ISTEXT(AL4))</xm:f>
          </x14:formula1>
          <xm:sqref>AM4:AM93</xm:sqref>
        </x14:dataValidation>
        <x14:dataValidation type="custom" allowBlank="1" showInputMessage="1" showErrorMessage="1" error="Recuerde que las acciones se generan bajo la medida de mitigar el riesgo">
          <x14:formula1>
            <xm:f>IF(OR(AL4='Opciones Tratamiento'!$B$2,AL4='Opciones Tratamiento'!$B$3,AL4='Opciones Tratamiento'!$B$4),ISBLANK(AL4),ISTEXT(AL4))</xm:f>
          </x14:formula1>
          <xm:sqref>AN4:AN93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CU140"/>
  <sheetViews>
    <sheetView topLeftCell="H3" zoomScale="55" zoomScaleNormal="55" workbookViewId="0">
      <selection activeCell="J46" sqref="J46:O51"/>
    </sheetView>
  </sheetViews>
  <sheetFormatPr baseColWidth="10" defaultRowHeight="15" x14ac:dyDescent="0.25"/>
  <cols>
    <col min="2" max="39" width="5.7109375" customWidth="1"/>
    <col min="41" max="46" width="5.710937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270" t="s">
        <v>155</v>
      </c>
      <c r="C2" s="270"/>
      <c r="D2" s="270"/>
      <c r="E2" s="270"/>
      <c r="F2" s="270"/>
      <c r="G2" s="270"/>
      <c r="H2" s="270"/>
      <c r="I2" s="270"/>
      <c r="J2" s="237" t="s">
        <v>2</v>
      </c>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270"/>
      <c r="C3" s="270"/>
      <c r="D3" s="270"/>
      <c r="E3" s="270"/>
      <c r="F3" s="270"/>
      <c r="G3" s="270"/>
      <c r="H3" s="270"/>
      <c r="I3" s="270"/>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270"/>
      <c r="C4" s="270"/>
      <c r="D4" s="270"/>
      <c r="E4" s="270"/>
      <c r="F4" s="270"/>
      <c r="G4" s="270"/>
      <c r="H4" s="270"/>
      <c r="I4" s="270"/>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183" t="s">
        <v>4</v>
      </c>
      <c r="C6" s="183"/>
      <c r="D6" s="184"/>
      <c r="E6" s="221" t="s">
        <v>114</v>
      </c>
      <c r="F6" s="222"/>
      <c r="G6" s="222"/>
      <c r="H6" s="222"/>
      <c r="I6" s="223"/>
      <c r="J6" s="233" t="str">
        <f ca="1">IF(AND('Mapa final'!$L$4="Muy Alta",'Mapa final'!$P$4="Leve"),CONCATENATE("R",'Mapa final'!$A$4),"")</f>
        <v/>
      </c>
      <c r="K6" s="234"/>
      <c r="L6" s="234" t="str">
        <f ca="1">IF(AND('Mapa final'!$L$10="Muy Alta",'Mapa final'!$P$10="Leve"),CONCATENATE("R",'Mapa final'!$A$10),"")</f>
        <v/>
      </c>
      <c r="M6" s="234"/>
      <c r="N6" s="234" t="str">
        <f ca="1">IF(AND('Mapa final'!$L$16="Muy Alta",'Mapa final'!$P$16="Leve"),CONCATENATE("R",'Mapa final'!$A$16),"")</f>
        <v/>
      </c>
      <c r="O6" s="236"/>
      <c r="P6" s="233" t="str">
        <f ca="1">IF(AND('Mapa final'!$L$4="Muy Alta",'Mapa final'!$P$4="Menor"),CONCATENATE("R",'Mapa final'!$A$4),"")</f>
        <v/>
      </c>
      <c r="Q6" s="234"/>
      <c r="R6" s="234" t="str">
        <f ca="1">IF(AND('Mapa final'!$L$10="Muy Alta",'Mapa final'!$P$10="Menor"),CONCATENATE("R",'Mapa final'!$A$10),"")</f>
        <v/>
      </c>
      <c r="S6" s="234"/>
      <c r="T6" s="234" t="str">
        <f ca="1">IF(AND('Mapa final'!$L$16="Muy Alta",'Mapa final'!$P$16="Menor"),CONCATENATE("R",'Mapa final'!$A$16),"")</f>
        <v/>
      </c>
      <c r="U6" s="236"/>
      <c r="V6" s="233" t="str">
        <f ca="1">IF(AND('Mapa final'!$L$4="Muy Alta",'Mapa final'!$P$4="Moderado"),CONCATENATE("R",'Mapa final'!$A$4),"")</f>
        <v/>
      </c>
      <c r="W6" s="234"/>
      <c r="X6" s="234" t="str">
        <f ca="1">IF(AND('Mapa final'!$L$10="Muy Alta",'Mapa final'!$P$10="Moderado"),CONCATENATE("R",'Mapa final'!$A$10),"")</f>
        <v/>
      </c>
      <c r="Y6" s="234"/>
      <c r="Z6" s="234" t="str">
        <f ca="1">IF(AND('Mapa final'!$L$16="Muy Alta",'Mapa final'!$P$16="Moderado"),CONCATENATE("R",'Mapa final'!$A$16),"")</f>
        <v/>
      </c>
      <c r="AA6" s="236"/>
      <c r="AB6" s="233" t="str">
        <f ca="1">IF(AND('Mapa final'!$L$4="Muy Alta",'Mapa final'!$P$4="Mayor"),CONCATENATE("R",'Mapa final'!$A$4),"")</f>
        <v/>
      </c>
      <c r="AC6" s="234"/>
      <c r="AD6" s="234" t="str">
        <f ca="1">IF(AND('Mapa final'!$L$10="Muy Alta",'Mapa final'!$P$10="Mayor"),CONCATENATE("R",'Mapa final'!$A$10),"")</f>
        <v/>
      </c>
      <c r="AE6" s="234"/>
      <c r="AF6" s="234" t="str">
        <f ca="1">IF(AND('Mapa final'!$L$16="Muy Alta",'Mapa final'!$P$16="Mayor"),CONCATENATE("R",'Mapa final'!$A$16),"")</f>
        <v/>
      </c>
      <c r="AG6" s="236"/>
      <c r="AH6" s="249" t="str">
        <f ca="1">IF(AND('Mapa final'!$L$4="Muy Alta",'Mapa final'!$P$4="Catastrófico"),CONCATENATE("R",'Mapa final'!$A$4),"")</f>
        <v/>
      </c>
      <c r="AI6" s="250"/>
      <c r="AJ6" s="250" t="str">
        <f ca="1">IF(AND('Mapa final'!$L$10="Muy Alta",'Mapa final'!$P$10="Catastrófico"),CONCATENATE("R",'Mapa final'!$A$10),"")</f>
        <v/>
      </c>
      <c r="AK6" s="250"/>
      <c r="AL6" s="250" t="str">
        <f ca="1">IF(AND('Mapa final'!$L$16="Muy Alta",'Mapa final'!$P$16="Catastrófico"),CONCATENATE("R",'Mapa final'!$A$16),"")</f>
        <v/>
      </c>
      <c r="AM6" s="251"/>
      <c r="AO6" s="185" t="s">
        <v>77</v>
      </c>
      <c r="AP6" s="186"/>
      <c r="AQ6" s="186"/>
      <c r="AR6" s="186"/>
      <c r="AS6" s="186"/>
      <c r="AT6" s="187"/>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183"/>
      <c r="C7" s="183"/>
      <c r="D7" s="184"/>
      <c r="E7" s="224"/>
      <c r="F7" s="225"/>
      <c r="G7" s="225"/>
      <c r="H7" s="225"/>
      <c r="I7" s="226"/>
      <c r="J7" s="235"/>
      <c r="K7" s="232"/>
      <c r="L7" s="232"/>
      <c r="M7" s="232"/>
      <c r="N7" s="232"/>
      <c r="O7" s="231"/>
      <c r="P7" s="235"/>
      <c r="Q7" s="232"/>
      <c r="R7" s="232"/>
      <c r="S7" s="232"/>
      <c r="T7" s="232"/>
      <c r="U7" s="231"/>
      <c r="V7" s="235"/>
      <c r="W7" s="232"/>
      <c r="X7" s="232"/>
      <c r="Y7" s="232"/>
      <c r="Z7" s="232"/>
      <c r="AA7" s="231"/>
      <c r="AB7" s="235"/>
      <c r="AC7" s="232"/>
      <c r="AD7" s="232"/>
      <c r="AE7" s="232"/>
      <c r="AF7" s="232"/>
      <c r="AG7" s="231"/>
      <c r="AH7" s="243"/>
      <c r="AI7" s="244"/>
      <c r="AJ7" s="244"/>
      <c r="AK7" s="244"/>
      <c r="AL7" s="244"/>
      <c r="AM7" s="245"/>
      <c r="AN7" s="70"/>
      <c r="AO7" s="188"/>
      <c r="AP7" s="189"/>
      <c r="AQ7" s="189"/>
      <c r="AR7" s="189"/>
      <c r="AS7" s="189"/>
      <c r="AT7" s="19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183"/>
      <c r="C8" s="183"/>
      <c r="D8" s="184"/>
      <c r="E8" s="224"/>
      <c r="F8" s="225"/>
      <c r="G8" s="225"/>
      <c r="H8" s="225"/>
      <c r="I8" s="226"/>
      <c r="J8" s="235" t="str">
        <f ca="1">IF(AND('Mapa final'!$L$22="Muy Alta",'Mapa final'!$P$22="Leve"),CONCATENATE("R",'Mapa final'!$A$22),"")</f>
        <v/>
      </c>
      <c r="K8" s="232"/>
      <c r="L8" s="230" t="str">
        <f ca="1">IF(AND('Mapa final'!$L$28="Muy Alta",'Mapa final'!$P$28="Leve"),CONCATENATE("R",'Mapa final'!$A$28),"")</f>
        <v/>
      </c>
      <c r="M8" s="230"/>
      <c r="N8" s="230" t="str">
        <f ca="1">IF(AND('Mapa final'!$L$34="Muy Alta",'Mapa final'!$P$34="Leve"),CONCATENATE("R",'Mapa final'!$A$34),"")</f>
        <v/>
      </c>
      <c r="O8" s="231"/>
      <c r="P8" s="235" t="str">
        <f ca="1">IF(AND('Mapa final'!$L$22="Muy Alta",'Mapa final'!$P$22="Menor"),CONCATENATE("R",'Mapa final'!$A$22),"")</f>
        <v/>
      </c>
      <c r="Q8" s="232"/>
      <c r="R8" s="230" t="str">
        <f ca="1">IF(AND('Mapa final'!$L$28="Muy Alta",'Mapa final'!$P$28="Menor"),CONCATENATE("R",'Mapa final'!$A$28),"")</f>
        <v/>
      </c>
      <c r="S8" s="230"/>
      <c r="T8" s="230" t="str">
        <f ca="1">IF(AND('Mapa final'!$L$34="Muy Alta",'Mapa final'!$P$34="Menor"),CONCATENATE("R",'Mapa final'!$A$34),"")</f>
        <v/>
      </c>
      <c r="U8" s="231"/>
      <c r="V8" s="235" t="str">
        <f ca="1">IF(AND('Mapa final'!$L$22="Muy Alta",'Mapa final'!$P$22="Moderado"),CONCATENATE("R",'Mapa final'!$A$22),"")</f>
        <v/>
      </c>
      <c r="W8" s="232"/>
      <c r="X8" s="230" t="str">
        <f ca="1">IF(AND('Mapa final'!$L$28="Muy Alta",'Mapa final'!$P$28="Moderado"),CONCATENATE("R",'Mapa final'!$A$28),"")</f>
        <v/>
      </c>
      <c r="Y8" s="230"/>
      <c r="Z8" s="230" t="str">
        <f ca="1">IF(AND('Mapa final'!$L$34="Muy Alta",'Mapa final'!$P$34="Moderado"),CONCATENATE("R",'Mapa final'!$A$34),"")</f>
        <v/>
      </c>
      <c r="AA8" s="231"/>
      <c r="AB8" s="235" t="str">
        <f ca="1">IF(AND('Mapa final'!$L$22="Muy Alta",'Mapa final'!$P$22="Mayor"),CONCATENATE("R",'Mapa final'!$A$22),"")</f>
        <v/>
      </c>
      <c r="AC8" s="232"/>
      <c r="AD8" s="230" t="str">
        <f ca="1">IF(AND('Mapa final'!$L$28="Muy Alta",'Mapa final'!$P$28="Mayor"),CONCATENATE("R",'Mapa final'!$A$28),"")</f>
        <v/>
      </c>
      <c r="AE8" s="230"/>
      <c r="AF8" s="230" t="str">
        <f ca="1">IF(AND('Mapa final'!$L$34="Muy Alta",'Mapa final'!$P$34="Mayor"),CONCATENATE("R",'Mapa final'!$A$34),"")</f>
        <v/>
      </c>
      <c r="AG8" s="231"/>
      <c r="AH8" s="243" t="str">
        <f ca="1">IF(AND('Mapa final'!$L$22="Muy Alta",'Mapa final'!$P$22="Catastrófico"),CONCATENATE("R",'Mapa final'!$A$22),"")</f>
        <v/>
      </c>
      <c r="AI8" s="244"/>
      <c r="AJ8" s="244" t="str">
        <f ca="1">IF(AND('Mapa final'!$L$28="Muy Alta",'Mapa final'!$P$28="Catastrófico"),CONCATENATE("R",'Mapa final'!$A$28),"")</f>
        <v/>
      </c>
      <c r="AK8" s="244"/>
      <c r="AL8" s="244" t="str">
        <f ca="1">IF(AND('Mapa final'!$L$34="Muy Alta",'Mapa final'!$P$34="Catastrófico"),CONCATENATE("R",'Mapa final'!$A$34),"")</f>
        <v/>
      </c>
      <c r="AM8" s="245"/>
      <c r="AN8" s="70"/>
      <c r="AO8" s="188"/>
      <c r="AP8" s="189"/>
      <c r="AQ8" s="189"/>
      <c r="AR8" s="189"/>
      <c r="AS8" s="189"/>
      <c r="AT8" s="19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183"/>
      <c r="C9" s="183"/>
      <c r="D9" s="184"/>
      <c r="E9" s="224"/>
      <c r="F9" s="225"/>
      <c r="G9" s="225"/>
      <c r="H9" s="225"/>
      <c r="I9" s="226"/>
      <c r="J9" s="235"/>
      <c r="K9" s="232"/>
      <c r="L9" s="230"/>
      <c r="M9" s="230"/>
      <c r="N9" s="230"/>
      <c r="O9" s="231"/>
      <c r="P9" s="235"/>
      <c r="Q9" s="232"/>
      <c r="R9" s="230"/>
      <c r="S9" s="230"/>
      <c r="T9" s="230"/>
      <c r="U9" s="231"/>
      <c r="V9" s="235"/>
      <c r="W9" s="232"/>
      <c r="X9" s="230"/>
      <c r="Y9" s="230"/>
      <c r="Z9" s="230"/>
      <c r="AA9" s="231"/>
      <c r="AB9" s="235"/>
      <c r="AC9" s="232"/>
      <c r="AD9" s="230"/>
      <c r="AE9" s="230"/>
      <c r="AF9" s="230"/>
      <c r="AG9" s="231"/>
      <c r="AH9" s="243"/>
      <c r="AI9" s="244"/>
      <c r="AJ9" s="244"/>
      <c r="AK9" s="244"/>
      <c r="AL9" s="244"/>
      <c r="AM9" s="245"/>
      <c r="AN9" s="70"/>
      <c r="AO9" s="188"/>
      <c r="AP9" s="189"/>
      <c r="AQ9" s="189"/>
      <c r="AR9" s="189"/>
      <c r="AS9" s="189"/>
      <c r="AT9" s="19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183"/>
      <c r="C10" s="183"/>
      <c r="D10" s="184"/>
      <c r="E10" s="224"/>
      <c r="F10" s="225"/>
      <c r="G10" s="225"/>
      <c r="H10" s="225"/>
      <c r="I10" s="226"/>
      <c r="J10" s="235" t="str">
        <f ca="1">IF(AND('Mapa final'!$L$40="Muy Alta",'Mapa final'!$P$40="Leve"),CONCATENATE("R",'Mapa final'!$A$40),"")</f>
        <v/>
      </c>
      <c r="K10" s="232"/>
      <c r="L10" s="230" t="str">
        <f ca="1">IF(AND('Mapa final'!$L$46="Muy Alta",'Mapa final'!$P$46="Leve"),CONCATENATE("R",'Mapa final'!$A$46),"")</f>
        <v/>
      </c>
      <c r="M10" s="230"/>
      <c r="N10" s="230" t="str">
        <f ca="1">IF(AND('Mapa final'!$L$52="Muy Alta",'Mapa final'!$P$52="Leve"),CONCATENATE("R",'Mapa final'!$A$52),"")</f>
        <v/>
      </c>
      <c r="O10" s="231"/>
      <c r="P10" s="235" t="str">
        <f ca="1">IF(AND('Mapa final'!$L$40="Muy Alta",'Mapa final'!$P$40="Menor"),CONCATENATE("R",'Mapa final'!$A$40),"")</f>
        <v/>
      </c>
      <c r="Q10" s="232"/>
      <c r="R10" s="230" t="str">
        <f ca="1">IF(AND('Mapa final'!$L$46="Muy Alta",'Mapa final'!$P$46="Menor"),CONCATENATE("R",'Mapa final'!$A$46),"")</f>
        <v/>
      </c>
      <c r="S10" s="230"/>
      <c r="T10" s="230" t="str">
        <f ca="1">IF(AND('Mapa final'!$L$52="Muy Alta",'Mapa final'!$P$52="Menor"),CONCATENATE("R",'Mapa final'!$A$52),"")</f>
        <v/>
      </c>
      <c r="U10" s="231"/>
      <c r="V10" s="235" t="str">
        <f ca="1">IF(AND('Mapa final'!$L$40="Muy Alta",'Mapa final'!$P$40="Moderado"),CONCATENATE("R",'Mapa final'!$A$40),"")</f>
        <v/>
      </c>
      <c r="W10" s="232"/>
      <c r="X10" s="230" t="str">
        <f ca="1">IF(AND('Mapa final'!$L$46="Muy Alta",'Mapa final'!$P$46="Moderado"),CONCATENATE("R",'Mapa final'!$A$46),"")</f>
        <v/>
      </c>
      <c r="Y10" s="230"/>
      <c r="Z10" s="230" t="str">
        <f ca="1">IF(AND('Mapa final'!$L$52="Muy Alta",'Mapa final'!$P$52="Moderado"),CONCATENATE("R",'Mapa final'!$A$52),"")</f>
        <v/>
      </c>
      <c r="AA10" s="231"/>
      <c r="AB10" s="235" t="str">
        <f ca="1">IF(AND('Mapa final'!$L$40="Muy Alta",'Mapa final'!$P$40="Mayor"),CONCATENATE("R",'Mapa final'!$A$40),"")</f>
        <v/>
      </c>
      <c r="AC10" s="232"/>
      <c r="AD10" s="230" t="str">
        <f ca="1">IF(AND('Mapa final'!$L$46="Muy Alta",'Mapa final'!$P$46="Mayor"),CONCATENATE("R",'Mapa final'!$A$46),"")</f>
        <v/>
      </c>
      <c r="AE10" s="230"/>
      <c r="AF10" s="230" t="str">
        <f ca="1">IF(AND('Mapa final'!$L$52="Muy Alta",'Mapa final'!$P$52="Mayor"),CONCATENATE("R",'Mapa final'!$A$52),"")</f>
        <v/>
      </c>
      <c r="AG10" s="231"/>
      <c r="AH10" s="243" t="str">
        <f ca="1">IF(AND('Mapa final'!$L$40="Muy Alta",'Mapa final'!$P$40="Catastrófico"),CONCATENATE("R",'Mapa final'!$A$40),"")</f>
        <v/>
      </c>
      <c r="AI10" s="244"/>
      <c r="AJ10" s="244" t="str">
        <f ca="1">IF(AND('Mapa final'!$L$46="Muy Alta",'Mapa final'!$P$46="Catastrófico"),CONCATENATE("R",'Mapa final'!$A$46),"")</f>
        <v/>
      </c>
      <c r="AK10" s="244"/>
      <c r="AL10" s="244" t="str">
        <f ca="1">IF(AND('Mapa final'!$L$52="Muy Alta",'Mapa final'!$P$52="Catastrófico"),CONCATENATE("R",'Mapa final'!$A$52),"")</f>
        <v/>
      </c>
      <c r="AM10" s="245"/>
      <c r="AN10" s="70"/>
      <c r="AO10" s="188"/>
      <c r="AP10" s="189"/>
      <c r="AQ10" s="189"/>
      <c r="AR10" s="189"/>
      <c r="AS10" s="189"/>
      <c r="AT10" s="19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183"/>
      <c r="C11" s="183"/>
      <c r="D11" s="184"/>
      <c r="E11" s="224"/>
      <c r="F11" s="225"/>
      <c r="G11" s="225"/>
      <c r="H11" s="225"/>
      <c r="I11" s="226"/>
      <c r="J11" s="235"/>
      <c r="K11" s="232"/>
      <c r="L11" s="230"/>
      <c r="M11" s="230"/>
      <c r="N11" s="230"/>
      <c r="O11" s="231"/>
      <c r="P11" s="235"/>
      <c r="Q11" s="232"/>
      <c r="R11" s="230"/>
      <c r="S11" s="230"/>
      <c r="T11" s="230"/>
      <c r="U11" s="231"/>
      <c r="V11" s="235"/>
      <c r="W11" s="232"/>
      <c r="X11" s="230"/>
      <c r="Y11" s="230"/>
      <c r="Z11" s="230"/>
      <c r="AA11" s="231"/>
      <c r="AB11" s="235"/>
      <c r="AC11" s="232"/>
      <c r="AD11" s="230"/>
      <c r="AE11" s="230"/>
      <c r="AF11" s="230"/>
      <c r="AG11" s="231"/>
      <c r="AH11" s="243"/>
      <c r="AI11" s="244"/>
      <c r="AJ11" s="244"/>
      <c r="AK11" s="244"/>
      <c r="AL11" s="244"/>
      <c r="AM11" s="245"/>
      <c r="AN11" s="70"/>
      <c r="AO11" s="188"/>
      <c r="AP11" s="189"/>
      <c r="AQ11" s="189"/>
      <c r="AR11" s="189"/>
      <c r="AS11" s="189"/>
      <c r="AT11" s="19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183"/>
      <c r="C12" s="183"/>
      <c r="D12" s="184"/>
      <c r="E12" s="224"/>
      <c r="F12" s="225"/>
      <c r="G12" s="225"/>
      <c r="H12" s="225"/>
      <c r="I12" s="226"/>
      <c r="J12" s="235" t="e">
        <f>IF(AND('Mapa final'!#REF!="Muy Alta",'Mapa final'!#REF!="Leve"),CONCATENATE("R",'Mapa final'!#REF!),"")</f>
        <v>#REF!</v>
      </c>
      <c r="K12" s="232"/>
      <c r="L12" s="230" t="e">
        <f>IF(AND('Mapa final'!#REF!="Muy Alta",'Mapa final'!#REF!="Leve"),CONCATENATE("R",'Mapa final'!#REF!),"")</f>
        <v>#REF!</v>
      </c>
      <c r="M12" s="230"/>
      <c r="N12" s="230" t="str">
        <f>IF(AND('Mapa final'!$L$60="Muy Alta",'Mapa final'!$P$60="Leve"),CONCATENATE("R",'Mapa final'!$A$60),"")</f>
        <v/>
      </c>
      <c r="O12" s="231"/>
      <c r="P12" s="235" t="e">
        <f>IF(AND('Mapa final'!#REF!="Muy Alta",'Mapa final'!#REF!="Menor"),CONCATENATE("R",'Mapa final'!#REF!),"")</f>
        <v>#REF!</v>
      </c>
      <c r="Q12" s="232"/>
      <c r="R12" s="230" t="e">
        <f>IF(AND('Mapa final'!#REF!="Muy Alta",'Mapa final'!#REF!="Menor"),CONCATENATE("R",'Mapa final'!#REF!),"")</f>
        <v>#REF!</v>
      </c>
      <c r="S12" s="230"/>
      <c r="T12" s="230" t="str">
        <f>IF(AND('Mapa final'!$L$60="Muy Alta",'Mapa final'!$P$60="Menor"),CONCATENATE("R",'Mapa final'!$A$60),"")</f>
        <v/>
      </c>
      <c r="U12" s="231"/>
      <c r="V12" s="235" t="e">
        <f>IF(AND('Mapa final'!#REF!="Muy Alta",'Mapa final'!#REF!="Moderado"),CONCATENATE("R",'Mapa final'!#REF!),"")</f>
        <v>#REF!</v>
      </c>
      <c r="W12" s="232"/>
      <c r="X12" s="230" t="e">
        <f>IF(AND('Mapa final'!#REF!="Muy Alta",'Mapa final'!#REF!="Moderado"),CONCATENATE("R",'Mapa final'!#REF!),"")</f>
        <v>#REF!</v>
      </c>
      <c r="Y12" s="230"/>
      <c r="Z12" s="230" t="str">
        <f>IF(AND('Mapa final'!$L$60="Muy Alta",'Mapa final'!$P$60="Moderado"),CONCATENATE("R",'Mapa final'!$A$60),"")</f>
        <v/>
      </c>
      <c r="AA12" s="231"/>
      <c r="AB12" s="235" t="e">
        <f>IF(AND('Mapa final'!#REF!="Muy Alta",'Mapa final'!#REF!="Mayor"),CONCATENATE("R",'Mapa final'!#REF!),"")</f>
        <v>#REF!</v>
      </c>
      <c r="AC12" s="232"/>
      <c r="AD12" s="230" t="e">
        <f>IF(AND('Mapa final'!#REF!="Muy Alta",'Mapa final'!#REF!="Mayor"),CONCATENATE("R",'Mapa final'!#REF!),"")</f>
        <v>#REF!</v>
      </c>
      <c r="AE12" s="230"/>
      <c r="AF12" s="230" t="str">
        <f>IF(AND('Mapa final'!$L$60="Muy Alta",'Mapa final'!$P$60="Mayor"),CONCATENATE("R",'Mapa final'!$A$60),"")</f>
        <v/>
      </c>
      <c r="AG12" s="231"/>
      <c r="AH12" s="243" t="e">
        <f>IF(AND('Mapa final'!#REF!="Muy Alta",'Mapa final'!#REF!="Catastrófico"),CONCATENATE("R",'Mapa final'!#REF!),"")</f>
        <v>#REF!</v>
      </c>
      <c r="AI12" s="244"/>
      <c r="AJ12" s="244" t="e">
        <f>IF(AND('Mapa final'!#REF!="Muy Alta",'Mapa final'!#REF!="Catastrófico"),CONCATENATE("R",'Mapa final'!#REF!),"")</f>
        <v>#REF!</v>
      </c>
      <c r="AK12" s="244"/>
      <c r="AL12" s="244" t="str">
        <f>IF(AND('Mapa final'!$L$60="Muy Alta",'Mapa final'!$P$60="Catastrófico"),CONCATENATE("R",'Mapa final'!$A$60),"")</f>
        <v/>
      </c>
      <c r="AM12" s="245"/>
      <c r="AN12" s="70"/>
      <c r="AO12" s="188"/>
      <c r="AP12" s="189"/>
      <c r="AQ12" s="189"/>
      <c r="AR12" s="189"/>
      <c r="AS12" s="189"/>
      <c r="AT12" s="19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183"/>
      <c r="C13" s="183"/>
      <c r="D13" s="184"/>
      <c r="E13" s="227"/>
      <c r="F13" s="228"/>
      <c r="G13" s="228"/>
      <c r="H13" s="228"/>
      <c r="I13" s="229"/>
      <c r="J13" s="235"/>
      <c r="K13" s="232"/>
      <c r="L13" s="232"/>
      <c r="M13" s="232"/>
      <c r="N13" s="232"/>
      <c r="O13" s="231"/>
      <c r="P13" s="235"/>
      <c r="Q13" s="232"/>
      <c r="R13" s="232"/>
      <c r="S13" s="232"/>
      <c r="T13" s="232"/>
      <c r="U13" s="231"/>
      <c r="V13" s="235"/>
      <c r="W13" s="232"/>
      <c r="X13" s="232"/>
      <c r="Y13" s="232"/>
      <c r="Z13" s="232"/>
      <c r="AA13" s="231"/>
      <c r="AB13" s="235"/>
      <c r="AC13" s="232"/>
      <c r="AD13" s="232"/>
      <c r="AE13" s="232"/>
      <c r="AF13" s="232"/>
      <c r="AG13" s="231"/>
      <c r="AH13" s="246"/>
      <c r="AI13" s="247"/>
      <c r="AJ13" s="247"/>
      <c r="AK13" s="247"/>
      <c r="AL13" s="247"/>
      <c r="AM13" s="248"/>
      <c r="AN13" s="70"/>
      <c r="AO13" s="191"/>
      <c r="AP13" s="192"/>
      <c r="AQ13" s="192"/>
      <c r="AR13" s="192"/>
      <c r="AS13" s="192"/>
      <c r="AT13" s="193"/>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183"/>
      <c r="C14" s="183"/>
      <c r="D14" s="184"/>
      <c r="E14" s="221" t="s">
        <v>113</v>
      </c>
      <c r="F14" s="222"/>
      <c r="G14" s="222"/>
      <c r="H14" s="222"/>
      <c r="I14" s="222"/>
      <c r="J14" s="258" t="str">
        <f ca="1">IF(AND('Mapa final'!$L$4="Alta",'Mapa final'!$P$4="Leve"),CONCATENATE("R",'Mapa final'!$A$4),"")</f>
        <v/>
      </c>
      <c r="K14" s="259"/>
      <c r="L14" s="259" t="str">
        <f ca="1">IF(AND('Mapa final'!$L$10="Alta",'Mapa final'!$P$10="Leve"),CONCATENATE("R",'Mapa final'!$A$10),"")</f>
        <v/>
      </c>
      <c r="M14" s="259"/>
      <c r="N14" s="259" t="str">
        <f ca="1">IF(AND('Mapa final'!$L$16="Alta",'Mapa final'!$P$16="Leve"),CONCATENATE("R",'Mapa final'!$A$16),"")</f>
        <v/>
      </c>
      <c r="O14" s="260"/>
      <c r="P14" s="258" t="str">
        <f ca="1">IF(AND('Mapa final'!$L$4="Alta",'Mapa final'!$P$4="Menor"),CONCATENATE("R",'Mapa final'!$A$4),"")</f>
        <v/>
      </c>
      <c r="Q14" s="259"/>
      <c r="R14" s="259" t="str">
        <f ca="1">IF(AND('Mapa final'!$L$10="Alta",'Mapa final'!$P$10="Menor"),CONCATENATE("R",'Mapa final'!$A$10),"")</f>
        <v/>
      </c>
      <c r="S14" s="259"/>
      <c r="T14" s="259" t="str">
        <f ca="1">IF(AND('Mapa final'!$L$16="Alta",'Mapa final'!$P$16="Menor"),CONCATENATE("R",'Mapa final'!$A$16),"")</f>
        <v/>
      </c>
      <c r="U14" s="260"/>
      <c r="V14" s="233" t="str">
        <f ca="1">IF(AND('Mapa final'!$L$4="Alta",'Mapa final'!$P$4="Moderado"),CONCATENATE("R",'Mapa final'!$A$4),"")</f>
        <v/>
      </c>
      <c r="W14" s="234"/>
      <c r="X14" s="234" t="str">
        <f ca="1">IF(AND('Mapa final'!$L$10="Alta",'Mapa final'!$P$10="Moderado"),CONCATENATE("R",'Mapa final'!$A$10),"")</f>
        <v/>
      </c>
      <c r="Y14" s="234"/>
      <c r="Z14" s="234" t="str">
        <f ca="1">IF(AND('Mapa final'!$L$16="Alta",'Mapa final'!$P$16="Moderado"),CONCATENATE("R",'Mapa final'!$A$16),"")</f>
        <v/>
      </c>
      <c r="AA14" s="236"/>
      <c r="AB14" s="233" t="str">
        <f ca="1">IF(AND('Mapa final'!$L$4="Alta",'Mapa final'!$P$4="Mayor"),CONCATENATE("R",'Mapa final'!$A$4),"")</f>
        <v/>
      </c>
      <c r="AC14" s="234"/>
      <c r="AD14" s="234" t="str">
        <f ca="1">IF(AND('Mapa final'!$L$10="Alta",'Mapa final'!$P$10="Mayor"),CONCATENATE("R",'Mapa final'!$A$10),"")</f>
        <v/>
      </c>
      <c r="AE14" s="234"/>
      <c r="AF14" s="234" t="str">
        <f ca="1">IF(AND('Mapa final'!$L$16="Alta",'Mapa final'!$P$16="Mayor"),CONCATENATE("R",'Mapa final'!$A$16),"")</f>
        <v/>
      </c>
      <c r="AG14" s="236"/>
      <c r="AH14" s="249" t="str">
        <f ca="1">IF(AND('Mapa final'!$L$4="Alta",'Mapa final'!$P$4="Catastrófico"),CONCATENATE("R",'Mapa final'!$A$4),"")</f>
        <v/>
      </c>
      <c r="AI14" s="250"/>
      <c r="AJ14" s="250" t="str">
        <f ca="1">IF(AND('Mapa final'!$L$10="Alta",'Mapa final'!$P$10="Catastrófico"),CONCATENATE("R",'Mapa final'!$A$10),"")</f>
        <v/>
      </c>
      <c r="AK14" s="250"/>
      <c r="AL14" s="250" t="str">
        <f ca="1">IF(AND('Mapa final'!$L$16="Alta",'Mapa final'!$P$16="Catastrófico"),CONCATENATE("R",'Mapa final'!$A$16),"")</f>
        <v/>
      </c>
      <c r="AM14" s="251"/>
      <c r="AN14" s="70"/>
      <c r="AO14" s="194" t="s">
        <v>78</v>
      </c>
      <c r="AP14" s="195"/>
      <c r="AQ14" s="195"/>
      <c r="AR14" s="195"/>
      <c r="AS14" s="195"/>
      <c r="AT14" s="196"/>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183"/>
      <c r="C15" s="183"/>
      <c r="D15" s="184"/>
      <c r="E15" s="224"/>
      <c r="F15" s="225"/>
      <c r="G15" s="225"/>
      <c r="H15" s="225"/>
      <c r="I15" s="238"/>
      <c r="J15" s="252"/>
      <c r="K15" s="253"/>
      <c r="L15" s="253"/>
      <c r="M15" s="253"/>
      <c r="N15" s="253"/>
      <c r="O15" s="254"/>
      <c r="P15" s="252"/>
      <c r="Q15" s="253"/>
      <c r="R15" s="253"/>
      <c r="S15" s="253"/>
      <c r="T15" s="253"/>
      <c r="U15" s="254"/>
      <c r="V15" s="235"/>
      <c r="W15" s="232"/>
      <c r="X15" s="232"/>
      <c r="Y15" s="232"/>
      <c r="Z15" s="232"/>
      <c r="AA15" s="231"/>
      <c r="AB15" s="235"/>
      <c r="AC15" s="232"/>
      <c r="AD15" s="232"/>
      <c r="AE15" s="232"/>
      <c r="AF15" s="232"/>
      <c r="AG15" s="231"/>
      <c r="AH15" s="243"/>
      <c r="AI15" s="244"/>
      <c r="AJ15" s="244"/>
      <c r="AK15" s="244"/>
      <c r="AL15" s="244"/>
      <c r="AM15" s="245"/>
      <c r="AN15" s="70"/>
      <c r="AO15" s="197"/>
      <c r="AP15" s="198"/>
      <c r="AQ15" s="198"/>
      <c r="AR15" s="198"/>
      <c r="AS15" s="198"/>
      <c r="AT15" s="199"/>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183"/>
      <c r="C16" s="183"/>
      <c r="D16" s="184"/>
      <c r="E16" s="224"/>
      <c r="F16" s="225"/>
      <c r="G16" s="225"/>
      <c r="H16" s="225"/>
      <c r="I16" s="238"/>
      <c r="J16" s="252" t="str">
        <f ca="1">IF(AND('Mapa final'!$L$22="Alta",'Mapa final'!$P$22="Leve"),CONCATENATE("R",'Mapa final'!$A$22),"")</f>
        <v/>
      </c>
      <c r="K16" s="253"/>
      <c r="L16" s="253" t="str">
        <f ca="1">IF(AND('Mapa final'!$L$28="Alta",'Mapa final'!$P$28="Leve"),CONCATENATE("R",'Mapa final'!$A$28),"")</f>
        <v/>
      </c>
      <c r="M16" s="253"/>
      <c r="N16" s="253" t="str">
        <f ca="1">IF(AND('Mapa final'!$L$34="Alta",'Mapa final'!$P$34="Leve"),CONCATENATE("R",'Mapa final'!$A$34),"")</f>
        <v/>
      </c>
      <c r="O16" s="254"/>
      <c r="P16" s="252" t="str">
        <f ca="1">IF(AND('Mapa final'!$L$22="Alta",'Mapa final'!$P$22="Menor"),CONCATENATE("R",'Mapa final'!$A$22),"")</f>
        <v/>
      </c>
      <c r="Q16" s="253"/>
      <c r="R16" s="253" t="str">
        <f ca="1">IF(AND('Mapa final'!$L$28="Alta",'Mapa final'!$P$28="Menor"),CONCATENATE("R",'Mapa final'!$A$28),"")</f>
        <v/>
      </c>
      <c r="S16" s="253"/>
      <c r="T16" s="253" t="str">
        <f ca="1">IF(AND('Mapa final'!$L$34="Alta",'Mapa final'!$P$34="Menor"),CONCATENATE("R",'Mapa final'!$A$34),"")</f>
        <v/>
      </c>
      <c r="U16" s="254"/>
      <c r="V16" s="235" t="str">
        <f ca="1">IF(AND('Mapa final'!$L$22="Alta",'Mapa final'!$P$22="Moderado"),CONCATENATE("R",'Mapa final'!$A$22),"")</f>
        <v/>
      </c>
      <c r="W16" s="232"/>
      <c r="X16" s="230" t="str">
        <f ca="1">IF(AND('Mapa final'!$L$28="Alta",'Mapa final'!$P$28="Moderado"),CONCATENATE("R",'Mapa final'!$A$28),"")</f>
        <v/>
      </c>
      <c r="Y16" s="230"/>
      <c r="Z16" s="230" t="str">
        <f ca="1">IF(AND('Mapa final'!$L$34="Alta",'Mapa final'!$P$34="Moderado"),CONCATENATE("R",'Mapa final'!$A$34),"")</f>
        <v/>
      </c>
      <c r="AA16" s="231"/>
      <c r="AB16" s="235" t="str">
        <f ca="1">IF(AND('Mapa final'!$L$22="Alta",'Mapa final'!$P$22="Mayor"),CONCATENATE("R",'Mapa final'!$A$22),"")</f>
        <v/>
      </c>
      <c r="AC16" s="232"/>
      <c r="AD16" s="230" t="str">
        <f ca="1">IF(AND('Mapa final'!$L$28="Alta",'Mapa final'!$P$28="Mayor"),CONCATENATE("R",'Mapa final'!$A$28),"")</f>
        <v/>
      </c>
      <c r="AE16" s="230"/>
      <c r="AF16" s="230" t="str">
        <f ca="1">IF(AND('Mapa final'!$L$34="Alta",'Mapa final'!$P$34="Mayor"),CONCATENATE("R",'Mapa final'!$A$34),"")</f>
        <v/>
      </c>
      <c r="AG16" s="231"/>
      <c r="AH16" s="243" t="str">
        <f ca="1">IF(AND('Mapa final'!$L$22="Alta",'Mapa final'!$P$22="Catastrófico"),CONCATENATE("R",'Mapa final'!$A$22),"")</f>
        <v/>
      </c>
      <c r="AI16" s="244"/>
      <c r="AJ16" s="244" t="str">
        <f ca="1">IF(AND('Mapa final'!$L$28="Alta",'Mapa final'!$P$28="Catastrófico"),CONCATENATE("R",'Mapa final'!$A$28),"")</f>
        <v/>
      </c>
      <c r="AK16" s="244"/>
      <c r="AL16" s="244" t="str">
        <f ca="1">IF(AND('Mapa final'!$L$34="Alta",'Mapa final'!$P$34="Catastrófico"),CONCATENATE("R",'Mapa final'!$A$34),"")</f>
        <v/>
      </c>
      <c r="AM16" s="245"/>
      <c r="AN16" s="70"/>
      <c r="AO16" s="197"/>
      <c r="AP16" s="198"/>
      <c r="AQ16" s="198"/>
      <c r="AR16" s="198"/>
      <c r="AS16" s="198"/>
      <c r="AT16" s="199"/>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183"/>
      <c r="C17" s="183"/>
      <c r="D17" s="184"/>
      <c r="E17" s="224"/>
      <c r="F17" s="225"/>
      <c r="G17" s="225"/>
      <c r="H17" s="225"/>
      <c r="I17" s="238"/>
      <c r="J17" s="252"/>
      <c r="K17" s="253"/>
      <c r="L17" s="253"/>
      <c r="M17" s="253"/>
      <c r="N17" s="253"/>
      <c r="O17" s="254"/>
      <c r="P17" s="252"/>
      <c r="Q17" s="253"/>
      <c r="R17" s="253"/>
      <c r="S17" s="253"/>
      <c r="T17" s="253"/>
      <c r="U17" s="254"/>
      <c r="V17" s="235"/>
      <c r="W17" s="232"/>
      <c r="X17" s="230"/>
      <c r="Y17" s="230"/>
      <c r="Z17" s="230"/>
      <c r="AA17" s="231"/>
      <c r="AB17" s="235"/>
      <c r="AC17" s="232"/>
      <c r="AD17" s="230"/>
      <c r="AE17" s="230"/>
      <c r="AF17" s="230"/>
      <c r="AG17" s="231"/>
      <c r="AH17" s="243"/>
      <c r="AI17" s="244"/>
      <c r="AJ17" s="244"/>
      <c r="AK17" s="244"/>
      <c r="AL17" s="244"/>
      <c r="AM17" s="245"/>
      <c r="AN17" s="70"/>
      <c r="AO17" s="197"/>
      <c r="AP17" s="198"/>
      <c r="AQ17" s="198"/>
      <c r="AR17" s="198"/>
      <c r="AS17" s="198"/>
      <c r="AT17" s="199"/>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183"/>
      <c r="C18" s="183"/>
      <c r="D18" s="184"/>
      <c r="E18" s="224"/>
      <c r="F18" s="225"/>
      <c r="G18" s="225"/>
      <c r="H18" s="225"/>
      <c r="I18" s="238"/>
      <c r="J18" s="252" t="str">
        <f ca="1">IF(AND('Mapa final'!$L$40="Alta",'Mapa final'!$P$40="Leve"),CONCATENATE("R",'Mapa final'!$A$40),"")</f>
        <v/>
      </c>
      <c r="K18" s="253"/>
      <c r="L18" s="253" t="str">
        <f ca="1">IF(AND('Mapa final'!$L$46="Alta",'Mapa final'!$P$46="Leve"),CONCATENATE("R",'Mapa final'!$A$46),"")</f>
        <v/>
      </c>
      <c r="M18" s="253"/>
      <c r="N18" s="253" t="str">
        <f ca="1">IF(AND('Mapa final'!$L$52="Alta",'Mapa final'!$P$52="Leve"),CONCATENATE("R",'Mapa final'!$A$52),"")</f>
        <v/>
      </c>
      <c r="O18" s="254"/>
      <c r="P18" s="252" t="str">
        <f ca="1">IF(AND('Mapa final'!$L$40="Alta",'Mapa final'!$P$40="Menor"),CONCATENATE("R",'Mapa final'!$A$40),"")</f>
        <v/>
      </c>
      <c r="Q18" s="253"/>
      <c r="R18" s="253" t="str">
        <f ca="1">IF(AND('Mapa final'!$L$46="Alta",'Mapa final'!$P$46="Menor"),CONCATENATE("R",'Mapa final'!$A$46),"")</f>
        <v/>
      </c>
      <c r="S18" s="253"/>
      <c r="T18" s="253" t="str">
        <f ca="1">IF(AND('Mapa final'!$L$52="Alta",'Mapa final'!$P$52="Menor"),CONCATENATE("R",'Mapa final'!$A$52),"")</f>
        <v/>
      </c>
      <c r="U18" s="254"/>
      <c r="V18" s="235" t="str">
        <f ca="1">IF(AND('Mapa final'!$L$40="Alta",'Mapa final'!$P$40="Moderado"),CONCATENATE("R",'Mapa final'!$A$40),"")</f>
        <v/>
      </c>
      <c r="W18" s="232"/>
      <c r="X18" s="230" t="str">
        <f ca="1">IF(AND('Mapa final'!$L$46="Alta",'Mapa final'!$P$46="Moderado"),CONCATENATE("R",'Mapa final'!$A$46),"")</f>
        <v/>
      </c>
      <c r="Y18" s="230"/>
      <c r="Z18" s="230" t="str">
        <f ca="1">IF(AND('Mapa final'!$L$52="Alta",'Mapa final'!$P$52="Moderado"),CONCATENATE("R",'Mapa final'!$A$52),"")</f>
        <v/>
      </c>
      <c r="AA18" s="231"/>
      <c r="AB18" s="235" t="str">
        <f ca="1">IF(AND('Mapa final'!$L$40="Alta",'Mapa final'!$P$40="Mayor"),CONCATENATE("R",'Mapa final'!$A$40),"")</f>
        <v/>
      </c>
      <c r="AC18" s="232"/>
      <c r="AD18" s="230" t="str">
        <f ca="1">IF(AND('Mapa final'!$L$46="Alta",'Mapa final'!$P$46="Mayor"),CONCATENATE("R",'Mapa final'!$A$46),"")</f>
        <v/>
      </c>
      <c r="AE18" s="230"/>
      <c r="AF18" s="230" t="str">
        <f ca="1">IF(AND('Mapa final'!$L$52="Alta",'Mapa final'!$P$52="Mayor"),CONCATENATE("R",'Mapa final'!$A$52),"")</f>
        <v/>
      </c>
      <c r="AG18" s="231"/>
      <c r="AH18" s="243" t="str">
        <f ca="1">IF(AND('Mapa final'!$L$40="Alta",'Mapa final'!$P$40="Catastrófico"),CONCATENATE("R",'Mapa final'!$A$40),"")</f>
        <v/>
      </c>
      <c r="AI18" s="244"/>
      <c r="AJ18" s="244" t="str">
        <f ca="1">IF(AND('Mapa final'!$L$46="Alta",'Mapa final'!$P$46="Catastrófico"),CONCATENATE("R",'Mapa final'!$A$46),"")</f>
        <v/>
      </c>
      <c r="AK18" s="244"/>
      <c r="AL18" s="244" t="str">
        <f ca="1">IF(AND('Mapa final'!$L$52="Alta",'Mapa final'!$P$52="Catastrófico"),CONCATENATE("R",'Mapa final'!$A$52),"")</f>
        <v/>
      </c>
      <c r="AM18" s="245"/>
      <c r="AN18" s="70"/>
      <c r="AO18" s="197"/>
      <c r="AP18" s="198"/>
      <c r="AQ18" s="198"/>
      <c r="AR18" s="198"/>
      <c r="AS18" s="198"/>
      <c r="AT18" s="199"/>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183"/>
      <c r="C19" s="183"/>
      <c r="D19" s="184"/>
      <c r="E19" s="224"/>
      <c r="F19" s="225"/>
      <c r="G19" s="225"/>
      <c r="H19" s="225"/>
      <c r="I19" s="238"/>
      <c r="J19" s="252"/>
      <c r="K19" s="253"/>
      <c r="L19" s="253"/>
      <c r="M19" s="253"/>
      <c r="N19" s="253"/>
      <c r="O19" s="254"/>
      <c r="P19" s="252"/>
      <c r="Q19" s="253"/>
      <c r="R19" s="253"/>
      <c r="S19" s="253"/>
      <c r="T19" s="253"/>
      <c r="U19" s="254"/>
      <c r="V19" s="235"/>
      <c r="W19" s="232"/>
      <c r="X19" s="230"/>
      <c r="Y19" s="230"/>
      <c r="Z19" s="230"/>
      <c r="AA19" s="231"/>
      <c r="AB19" s="235"/>
      <c r="AC19" s="232"/>
      <c r="AD19" s="230"/>
      <c r="AE19" s="230"/>
      <c r="AF19" s="230"/>
      <c r="AG19" s="231"/>
      <c r="AH19" s="243"/>
      <c r="AI19" s="244"/>
      <c r="AJ19" s="244"/>
      <c r="AK19" s="244"/>
      <c r="AL19" s="244"/>
      <c r="AM19" s="245"/>
      <c r="AN19" s="70"/>
      <c r="AO19" s="197"/>
      <c r="AP19" s="198"/>
      <c r="AQ19" s="198"/>
      <c r="AR19" s="198"/>
      <c r="AS19" s="198"/>
      <c r="AT19" s="199"/>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183"/>
      <c r="C20" s="183"/>
      <c r="D20" s="184"/>
      <c r="E20" s="224"/>
      <c r="F20" s="225"/>
      <c r="G20" s="225"/>
      <c r="H20" s="225"/>
      <c r="I20" s="238"/>
      <c r="J20" s="252" t="e">
        <f>IF(AND('Mapa final'!#REF!="Alta",'Mapa final'!#REF!="Leve"),CONCATENATE("R",'Mapa final'!#REF!),"")</f>
        <v>#REF!</v>
      </c>
      <c r="K20" s="253"/>
      <c r="L20" s="253" t="e">
        <f>IF(AND('Mapa final'!#REF!="Alta",'Mapa final'!#REF!="Leve"),CONCATENATE("R",'Mapa final'!#REF!),"")</f>
        <v>#REF!</v>
      </c>
      <c r="M20" s="253"/>
      <c r="N20" s="253" t="str">
        <f>IF(AND('Mapa final'!$L$60="Alta",'Mapa final'!$P$60="Leve"),CONCATENATE("R",'Mapa final'!$A$60),"")</f>
        <v/>
      </c>
      <c r="O20" s="254"/>
      <c r="P20" s="252" t="e">
        <f>IF(AND('Mapa final'!#REF!="Alta",'Mapa final'!#REF!="Menor"),CONCATENATE("R",'Mapa final'!#REF!),"")</f>
        <v>#REF!</v>
      </c>
      <c r="Q20" s="253"/>
      <c r="R20" s="253" t="e">
        <f>IF(AND('Mapa final'!#REF!="Alta",'Mapa final'!#REF!="Menor"),CONCATENATE("R",'Mapa final'!#REF!),"")</f>
        <v>#REF!</v>
      </c>
      <c r="S20" s="253"/>
      <c r="T20" s="253" t="str">
        <f>IF(AND('Mapa final'!$L$60="Alta",'Mapa final'!$P$60="Menor"),CONCATENATE("R",'Mapa final'!$A$60),"")</f>
        <v/>
      </c>
      <c r="U20" s="254"/>
      <c r="V20" s="235" t="e">
        <f>IF(AND('Mapa final'!#REF!="Alta",'Mapa final'!#REF!="Moderado"),CONCATENATE("R",'Mapa final'!#REF!),"")</f>
        <v>#REF!</v>
      </c>
      <c r="W20" s="232"/>
      <c r="X20" s="230" t="e">
        <f>IF(AND('Mapa final'!#REF!="Alta",'Mapa final'!#REF!="Moderado"),CONCATENATE("R",'Mapa final'!#REF!),"")</f>
        <v>#REF!</v>
      </c>
      <c r="Y20" s="230"/>
      <c r="Z20" s="230" t="str">
        <f>IF(AND('Mapa final'!$L$60="Alta",'Mapa final'!$P$60="Moderado"),CONCATENATE("R",'Mapa final'!$A$60),"")</f>
        <v/>
      </c>
      <c r="AA20" s="231"/>
      <c r="AB20" s="235" t="e">
        <f>IF(AND('Mapa final'!#REF!="Alta",'Mapa final'!#REF!="Mayor"),CONCATENATE("R",'Mapa final'!#REF!),"")</f>
        <v>#REF!</v>
      </c>
      <c r="AC20" s="232"/>
      <c r="AD20" s="230" t="e">
        <f>IF(AND('Mapa final'!#REF!="Alta",'Mapa final'!#REF!="Mayor"),CONCATENATE("R",'Mapa final'!#REF!),"")</f>
        <v>#REF!</v>
      </c>
      <c r="AE20" s="230"/>
      <c r="AF20" s="230" t="str">
        <f>IF(AND('Mapa final'!$L$60="Alta",'Mapa final'!$P$60="Mayor"),CONCATENATE("R",'Mapa final'!$A$60),"")</f>
        <v/>
      </c>
      <c r="AG20" s="231"/>
      <c r="AH20" s="243" t="e">
        <f>IF(AND('Mapa final'!#REF!="Alta",'Mapa final'!#REF!="Catastrófico"),CONCATENATE("R",'Mapa final'!#REF!),"")</f>
        <v>#REF!</v>
      </c>
      <c r="AI20" s="244"/>
      <c r="AJ20" s="244" t="e">
        <f>IF(AND('Mapa final'!#REF!="Alta",'Mapa final'!#REF!="Catastrófico"),CONCATENATE("R",'Mapa final'!#REF!),"")</f>
        <v>#REF!</v>
      </c>
      <c r="AK20" s="244"/>
      <c r="AL20" s="244" t="str">
        <f>IF(AND('Mapa final'!$L$60="Alta",'Mapa final'!$P$60="Catastrófico"),CONCATENATE("R",'Mapa final'!$A$60),"")</f>
        <v/>
      </c>
      <c r="AM20" s="245"/>
      <c r="AN20" s="70"/>
      <c r="AO20" s="197"/>
      <c r="AP20" s="198"/>
      <c r="AQ20" s="198"/>
      <c r="AR20" s="198"/>
      <c r="AS20" s="198"/>
      <c r="AT20" s="199"/>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183"/>
      <c r="C21" s="183"/>
      <c r="D21" s="184"/>
      <c r="E21" s="227"/>
      <c r="F21" s="228"/>
      <c r="G21" s="228"/>
      <c r="H21" s="228"/>
      <c r="I21" s="228"/>
      <c r="J21" s="255"/>
      <c r="K21" s="256"/>
      <c r="L21" s="256"/>
      <c r="M21" s="256"/>
      <c r="N21" s="256"/>
      <c r="O21" s="257"/>
      <c r="P21" s="255"/>
      <c r="Q21" s="256"/>
      <c r="R21" s="256"/>
      <c r="S21" s="256"/>
      <c r="T21" s="256"/>
      <c r="U21" s="257"/>
      <c r="V21" s="240"/>
      <c r="W21" s="241"/>
      <c r="X21" s="241"/>
      <c r="Y21" s="241"/>
      <c r="Z21" s="241"/>
      <c r="AA21" s="242"/>
      <c r="AB21" s="240"/>
      <c r="AC21" s="241"/>
      <c r="AD21" s="241"/>
      <c r="AE21" s="241"/>
      <c r="AF21" s="241"/>
      <c r="AG21" s="242"/>
      <c r="AH21" s="246"/>
      <c r="AI21" s="247"/>
      <c r="AJ21" s="247"/>
      <c r="AK21" s="247"/>
      <c r="AL21" s="247"/>
      <c r="AM21" s="248"/>
      <c r="AN21" s="70"/>
      <c r="AO21" s="200"/>
      <c r="AP21" s="201"/>
      <c r="AQ21" s="201"/>
      <c r="AR21" s="201"/>
      <c r="AS21" s="201"/>
      <c r="AT21" s="202"/>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x14ac:dyDescent="0.25">
      <c r="A22" s="70"/>
      <c r="B22" s="183"/>
      <c r="C22" s="183"/>
      <c r="D22" s="184"/>
      <c r="E22" s="221" t="s">
        <v>115</v>
      </c>
      <c r="F22" s="222"/>
      <c r="G22" s="222"/>
      <c r="H22" s="222"/>
      <c r="I22" s="223"/>
      <c r="J22" s="258" t="str">
        <f ca="1">IF(AND('Mapa final'!$L$4="Media",'Mapa final'!$P$4="Leve"),CONCATENATE("R",'Mapa final'!$A$4),"")</f>
        <v/>
      </c>
      <c r="K22" s="259"/>
      <c r="L22" s="259" t="str">
        <f ca="1">IF(AND('Mapa final'!$L$10="Media",'Mapa final'!$P$10="Leve"),CONCATENATE("R",'Mapa final'!$A$10),"")</f>
        <v/>
      </c>
      <c r="M22" s="259"/>
      <c r="N22" s="259" t="str">
        <f ca="1">IF(AND('Mapa final'!$L$16="Media",'Mapa final'!$P$16="Leve"),CONCATENATE("R",'Mapa final'!$A$16),"")</f>
        <v/>
      </c>
      <c r="O22" s="260"/>
      <c r="P22" s="258" t="str">
        <f ca="1">IF(AND('Mapa final'!$L$4="Media",'Mapa final'!$P$4="Menor"),CONCATENATE("R",'Mapa final'!$A$4),"")</f>
        <v/>
      </c>
      <c r="Q22" s="259"/>
      <c r="R22" s="259" t="str">
        <f ca="1">IF(AND('Mapa final'!$L$10="Media",'Mapa final'!$P$10="Menor"),CONCATENATE("R",'Mapa final'!$A$10),"")</f>
        <v/>
      </c>
      <c r="S22" s="259"/>
      <c r="T22" s="259" t="str">
        <f ca="1">IF(AND('Mapa final'!$L$16="Media",'Mapa final'!$P$16="Menor"),CONCATENATE("R",'Mapa final'!$A$16),"")</f>
        <v/>
      </c>
      <c r="U22" s="260"/>
      <c r="V22" s="258" t="str">
        <f ca="1">IF(AND('Mapa final'!$L$4="Media",'Mapa final'!$P$4="Moderado"),CONCATENATE("R",'Mapa final'!$A$4),"")</f>
        <v/>
      </c>
      <c r="W22" s="259"/>
      <c r="X22" s="259" t="str">
        <f ca="1">IF(AND('Mapa final'!$L$10="Media",'Mapa final'!$P$10="Moderado"),CONCATENATE("R",'Mapa final'!$A$10),"")</f>
        <v/>
      </c>
      <c r="Y22" s="259"/>
      <c r="Z22" s="259" t="str">
        <f ca="1">IF(AND('Mapa final'!$L$16="Media",'Mapa final'!$P$16="Moderado"),CONCATENATE("R",'Mapa final'!$A$16),"")</f>
        <v>R3</v>
      </c>
      <c r="AA22" s="260"/>
      <c r="AB22" s="233" t="str">
        <f ca="1">IF(AND('Mapa final'!$L$4="Media",'Mapa final'!$P$4="Mayor"),CONCATENATE("R",'Mapa final'!$A$4),"")</f>
        <v/>
      </c>
      <c r="AC22" s="234"/>
      <c r="AD22" s="234" t="str">
        <f ca="1">IF(AND('Mapa final'!$L$10="Media",'Mapa final'!$P$10="Mayor"),CONCATENATE("R",'Mapa final'!$A$10),"")</f>
        <v/>
      </c>
      <c r="AE22" s="234"/>
      <c r="AF22" s="234" t="str">
        <f ca="1">IF(AND('Mapa final'!$L$16="Media",'Mapa final'!$P$16="Mayor"),CONCATENATE("R",'Mapa final'!$A$16),"")</f>
        <v/>
      </c>
      <c r="AG22" s="236"/>
      <c r="AH22" s="249" t="str">
        <f ca="1">IF(AND('Mapa final'!$L$4="Media",'Mapa final'!$P$4="Catastrófico"),CONCATENATE("R",'Mapa final'!$A$4),"")</f>
        <v/>
      </c>
      <c r="AI22" s="250"/>
      <c r="AJ22" s="250" t="str">
        <f ca="1">IF(AND('Mapa final'!$L$10="Media",'Mapa final'!$P$10="Catastrófico"),CONCATENATE("R",'Mapa final'!$A$10),"")</f>
        <v>R2</v>
      </c>
      <c r="AK22" s="250"/>
      <c r="AL22" s="250" t="str">
        <f ca="1">IF(AND('Mapa final'!$L$16="Media",'Mapa final'!$P$16="Catastrófico"),CONCATENATE("R",'Mapa final'!$A$16),"")</f>
        <v/>
      </c>
      <c r="AM22" s="251"/>
      <c r="AN22" s="70"/>
      <c r="AO22" s="203" t="s">
        <v>79</v>
      </c>
      <c r="AP22" s="204"/>
      <c r="AQ22" s="204"/>
      <c r="AR22" s="204"/>
      <c r="AS22" s="204"/>
      <c r="AT22" s="205"/>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x14ac:dyDescent="0.25">
      <c r="A23" s="70"/>
      <c r="B23" s="183"/>
      <c r="C23" s="183"/>
      <c r="D23" s="184"/>
      <c r="E23" s="224"/>
      <c r="F23" s="225"/>
      <c r="G23" s="225"/>
      <c r="H23" s="225"/>
      <c r="I23" s="226"/>
      <c r="J23" s="252"/>
      <c r="K23" s="253"/>
      <c r="L23" s="253"/>
      <c r="M23" s="253"/>
      <c r="N23" s="253"/>
      <c r="O23" s="254"/>
      <c r="P23" s="252"/>
      <c r="Q23" s="253"/>
      <c r="R23" s="253"/>
      <c r="S23" s="253"/>
      <c r="T23" s="253"/>
      <c r="U23" s="254"/>
      <c r="V23" s="252"/>
      <c r="W23" s="253"/>
      <c r="X23" s="253"/>
      <c r="Y23" s="253"/>
      <c r="Z23" s="253"/>
      <c r="AA23" s="254"/>
      <c r="AB23" s="235"/>
      <c r="AC23" s="232"/>
      <c r="AD23" s="232"/>
      <c r="AE23" s="232"/>
      <c r="AF23" s="232"/>
      <c r="AG23" s="231"/>
      <c r="AH23" s="243"/>
      <c r="AI23" s="244"/>
      <c r="AJ23" s="244"/>
      <c r="AK23" s="244"/>
      <c r="AL23" s="244"/>
      <c r="AM23" s="245"/>
      <c r="AN23" s="70"/>
      <c r="AO23" s="206"/>
      <c r="AP23" s="207"/>
      <c r="AQ23" s="207"/>
      <c r="AR23" s="207"/>
      <c r="AS23" s="207"/>
      <c r="AT23" s="208"/>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x14ac:dyDescent="0.25">
      <c r="A24" s="70"/>
      <c r="B24" s="183"/>
      <c r="C24" s="183"/>
      <c r="D24" s="184"/>
      <c r="E24" s="224"/>
      <c r="F24" s="225"/>
      <c r="G24" s="225"/>
      <c r="H24" s="225"/>
      <c r="I24" s="226"/>
      <c r="J24" s="252" t="str">
        <f ca="1">IF(AND('Mapa final'!$L$22="Media",'Mapa final'!$P$22="Leve"),CONCATENATE("R",'Mapa final'!$A$22),"")</f>
        <v/>
      </c>
      <c r="K24" s="253"/>
      <c r="L24" s="253" t="str">
        <f ca="1">IF(AND('Mapa final'!$L$28="Media",'Mapa final'!$P$28="Leve"),CONCATENATE("R",'Mapa final'!$A$28),"")</f>
        <v/>
      </c>
      <c r="M24" s="253"/>
      <c r="N24" s="253" t="str">
        <f ca="1">IF(AND('Mapa final'!$L$34="Media",'Mapa final'!$P$34="Leve"),CONCATENATE("R",'Mapa final'!$A$34),"")</f>
        <v/>
      </c>
      <c r="O24" s="254"/>
      <c r="P24" s="252" t="str">
        <f ca="1">IF(AND('Mapa final'!$L$22="Media",'Mapa final'!$P$22="Menor"),CONCATENATE("R",'Mapa final'!$A$22),"")</f>
        <v/>
      </c>
      <c r="Q24" s="253"/>
      <c r="R24" s="253" t="str">
        <f ca="1">IF(AND('Mapa final'!$L$28="Media",'Mapa final'!$P$28="Menor"),CONCATENATE("R",'Mapa final'!$A$28),"")</f>
        <v/>
      </c>
      <c r="S24" s="253"/>
      <c r="T24" s="253" t="str">
        <f ca="1">IF(AND('Mapa final'!$L$34="Media",'Mapa final'!$P$34="Menor"),CONCATENATE("R",'Mapa final'!$A$34),"")</f>
        <v/>
      </c>
      <c r="U24" s="254"/>
      <c r="V24" s="252" t="str">
        <f ca="1">IF(AND('Mapa final'!$L$22="Media",'Mapa final'!$P$22="Moderado"),CONCATENATE("R",'Mapa final'!$A$22),"")</f>
        <v/>
      </c>
      <c r="W24" s="253"/>
      <c r="X24" s="253" t="str">
        <f ca="1">IF(AND('Mapa final'!$L$28="Media",'Mapa final'!$P$28="Moderado"),CONCATENATE("R",'Mapa final'!$A$28),"")</f>
        <v>R5</v>
      </c>
      <c r="Y24" s="253"/>
      <c r="Z24" s="253" t="str">
        <f ca="1">IF(AND('Mapa final'!$L$34="Media",'Mapa final'!$P$34="Moderado"),CONCATENATE("R",'Mapa final'!$A$34),"")</f>
        <v/>
      </c>
      <c r="AA24" s="254"/>
      <c r="AB24" s="235" t="str">
        <f ca="1">IF(AND('Mapa final'!$L$22="Media",'Mapa final'!$P$22="Mayor"),CONCATENATE("R",'Mapa final'!$A$22),"")</f>
        <v/>
      </c>
      <c r="AC24" s="232"/>
      <c r="AD24" s="230" t="str">
        <f ca="1">IF(AND('Mapa final'!$L$28="Media",'Mapa final'!$P$28="Mayor"),CONCATENATE("R",'Mapa final'!$A$28),"")</f>
        <v/>
      </c>
      <c r="AE24" s="230"/>
      <c r="AF24" s="230" t="str">
        <f ca="1">IF(AND('Mapa final'!$L$34="Media",'Mapa final'!$P$34="Mayor"),CONCATENATE("R",'Mapa final'!$A$34),"")</f>
        <v/>
      </c>
      <c r="AG24" s="231"/>
      <c r="AH24" s="243" t="str">
        <f ca="1">IF(AND('Mapa final'!$L$22="Media",'Mapa final'!$P$22="Catastrófico"),CONCATENATE("R",'Mapa final'!$A$22),"")</f>
        <v/>
      </c>
      <c r="AI24" s="244"/>
      <c r="AJ24" s="244" t="str">
        <f ca="1">IF(AND('Mapa final'!$L$28="Media",'Mapa final'!$P$28="Catastrófico"),CONCATENATE("R",'Mapa final'!$A$28),"")</f>
        <v/>
      </c>
      <c r="AK24" s="244"/>
      <c r="AL24" s="244" t="str">
        <f ca="1">IF(AND('Mapa final'!$L$34="Media",'Mapa final'!$P$34="Catastrófico"),CONCATENATE("R",'Mapa final'!$A$34),"")</f>
        <v/>
      </c>
      <c r="AM24" s="245"/>
      <c r="AN24" s="70"/>
      <c r="AO24" s="206"/>
      <c r="AP24" s="207"/>
      <c r="AQ24" s="207"/>
      <c r="AR24" s="207"/>
      <c r="AS24" s="207"/>
      <c r="AT24" s="208"/>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x14ac:dyDescent="0.25">
      <c r="A25" s="70"/>
      <c r="B25" s="183"/>
      <c r="C25" s="183"/>
      <c r="D25" s="184"/>
      <c r="E25" s="224"/>
      <c r="F25" s="225"/>
      <c r="G25" s="225"/>
      <c r="H25" s="225"/>
      <c r="I25" s="226"/>
      <c r="J25" s="252"/>
      <c r="K25" s="253"/>
      <c r="L25" s="253"/>
      <c r="M25" s="253"/>
      <c r="N25" s="253"/>
      <c r="O25" s="254"/>
      <c r="P25" s="252"/>
      <c r="Q25" s="253"/>
      <c r="R25" s="253"/>
      <c r="S25" s="253"/>
      <c r="T25" s="253"/>
      <c r="U25" s="254"/>
      <c r="V25" s="252"/>
      <c r="W25" s="253"/>
      <c r="X25" s="253"/>
      <c r="Y25" s="253"/>
      <c r="Z25" s="253"/>
      <c r="AA25" s="254"/>
      <c r="AB25" s="235"/>
      <c r="AC25" s="232"/>
      <c r="AD25" s="230"/>
      <c r="AE25" s="230"/>
      <c r="AF25" s="230"/>
      <c r="AG25" s="231"/>
      <c r="AH25" s="243"/>
      <c r="AI25" s="244"/>
      <c r="AJ25" s="244"/>
      <c r="AK25" s="244"/>
      <c r="AL25" s="244"/>
      <c r="AM25" s="245"/>
      <c r="AN25" s="70"/>
      <c r="AO25" s="206"/>
      <c r="AP25" s="207"/>
      <c r="AQ25" s="207"/>
      <c r="AR25" s="207"/>
      <c r="AS25" s="207"/>
      <c r="AT25" s="208"/>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x14ac:dyDescent="0.25">
      <c r="A26" s="70"/>
      <c r="B26" s="183"/>
      <c r="C26" s="183"/>
      <c r="D26" s="184"/>
      <c r="E26" s="224"/>
      <c r="F26" s="225"/>
      <c r="G26" s="225"/>
      <c r="H26" s="225"/>
      <c r="I26" s="226"/>
      <c r="J26" s="252" t="str">
        <f ca="1">IF(AND('Mapa final'!$L$40="Media",'Mapa final'!$P$40="Leve"),CONCATENATE("R",'Mapa final'!$A$40),"")</f>
        <v/>
      </c>
      <c r="K26" s="253"/>
      <c r="L26" s="253" t="str">
        <f ca="1">IF(AND('Mapa final'!$L$46="Media",'Mapa final'!$P$46="Leve"),CONCATENATE("R",'Mapa final'!$A$46),"")</f>
        <v/>
      </c>
      <c r="M26" s="253"/>
      <c r="N26" s="253" t="str">
        <f ca="1">IF(AND('Mapa final'!$L$52="Media",'Mapa final'!$P$52="Leve"),CONCATENATE("R",'Mapa final'!$A$52),"")</f>
        <v/>
      </c>
      <c r="O26" s="254"/>
      <c r="P26" s="252" t="str">
        <f ca="1">IF(AND('Mapa final'!$L$40="Media",'Mapa final'!$P$40="Menor"),CONCATENATE("R",'Mapa final'!$A$40),"")</f>
        <v/>
      </c>
      <c r="Q26" s="253"/>
      <c r="R26" s="253" t="str">
        <f ca="1">IF(AND('Mapa final'!$L$46="Media",'Mapa final'!$P$46="Menor"),CONCATENATE("R",'Mapa final'!$A$46),"")</f>
        <v>R8</v>
      </c>
      <c r="S26" s="253"/>
      <c r="T26" s="253" t="str">
        <f ca="1">IF(AND('Mapa final'!$L$52="Media",'Mapa final'!$P$52="Menor"),CONCATENATE("R",'Mapa final'!$A$52),"")</f>
        <v/>
      </c>
      <c r="U26" s="254"/>
      <c r="V26" s="252" t="str">
        <f ca="1">IF(AND('Mapa final'!$L$40="Media",'Mapa final'!$P$40="Moderado"),CONCATENATE("R",'Mapa final'!$A$40),"")</f>
        <v/>
      </c>
      <c r="W26" s="253"/>
      <c r="X26" s="253" t="str">
        <f ca="1">IF(AND('Mapa final'!$L$46="Media",'Mapa final'!$P$46="Moderado"),CONCATENATE("R",'Mapa final'!$A$46),"")</f>
        <v/>
      </c>
      <c r="Y26" s="253"/>
      <c r="Z26" s="253" t="str">
        <f ca="1">IF(AND('Mapa final'!$L$52="Media",'Mapa final'!$P$52="Moderado"),CONCATENATE("R",'Mapa final'!$A$52),"")</f>
        <v/>
      </c>
      <c r="AA26" s="254"/>
      <c r="AB26" s="235" t="str">
        <f ca="1">IF(AND('Mapa final'!$L$40="Media",'Mapa final'!$P$40="Mayor"),CONCATENATE("R",'Mapa final'!$A$40),"")</f>
        <v/>
      </c>
      <c r="AC26" s="232"/>
      <c r="AD26" s="230" t="str">
        <f ca="1">IF(AND('Mapa final'!$L$46="Media",'Mapa final'!$P$46="Mayor"),CONCATENATE("R",'Mapa final'!$A$46),"")</f>
        <v/>
      </c>
      <c r="AE26" s="230"/>
      <c r="AF26" s="230" t="str">
        <f ca="1">IF(AND('Mapa final'!$L$52="Media",'Mapa final'!$P$52="Mayor"),CONCATENATE("R",'Mapa final'!$A$52),"")</f>
        <v/>
      </c>
      <c r="AG26" s="231"/>
      <c r="AH26" s="243" t="str">
        <f ca="1">IF(AND('Mapa final'!$L$40="Media",'Mapa final'!$P$40="Catastrófico"),CONCATENATE("R",'Mapa final'!$A$40),"")</f>
        <v/>
      </c>
      <c r="AI26" s="244"/>
      <c r="AJ26" s="244" t="str">
        <f ca="1">IF(AND('Mapa final'!$L$46="Media",'Mapa final'!$P$46="Catastrófico"),CONCATENATE("R",'Mapa final'!$A$46),"")</f>
        <v/>
      </c>
      <c r="AK26" s="244"/>
      <c r="AL26" s="244" t="str">
        <f ca="1">IF(AND('Mapa final'!$L$52="Media",'Mapa final'!$P$52="Catastrófico"),CONCATENATE("R",'Mapa final'!$A$52),"")</f>
        <v/>
      </c>
      <c r="AM26" s="245"/>
      <c r="AN26" s="70"/>
      <c r="AO26" s="206"/>
      <c r="AP26" s="207"/>
      <c r="AQ26" s="207"/>
      <c r="AR26" s="207"/>
      <c r="AS26" s="207"/>
      <c r="AT26" s="208"/>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x14ac:dyDescent="0.25">
      <c r="A27" s="70"/>
      <c r="B27" s="183"/>
      <c r="C27" s="183"/>
      <c r="D27" s="184"/>
      <c r="E27" s="224"/>
      <c r="F27" s="225"/>
      <c r="G27" s="225"/>
      <c r="H27" s="225"/>
      <c r="I27" s="226"/>
      <c r="J27" s="252"/>
      <c r="K27" s="253"/>
      <c r="L27" s="253"/>
      <c r="M27" s="253"/>
      <c r="N27" s="253"/>
      <c r="O27" s="254"/>
      <c r="P27" s="252"/>
      <c r="Q27" s="253"/>
      <c r="R27" s="253"/>
      <c r="S27" s="253"/>
      <c r="T27" s="253"/>
      <c r="U27" s="254"/>
      <c r="V27" s="252"/>
      <c r="W27" s="253"/>
      <c r="X27" s="253"/>
      <c r="Y27" s="253"/>
      <c r="Z27" s="253"/>
      <c r="AA27" s="254"/>
      <c r="AB27" s="235"/>
      <c r="AC27" s="232"/>
      <c r="AD27" s="230"/>
      <c r="AE27" s="230"/>
      <c r="AF27" s="230"/>
      <c r="AG27" s="231"/>
      <c r="AH27" s="243"/>
      <c r="AI27" s="244"/>
      <c r="AJ27" s="244"/>
      <c r="AK27" s="244"/>
      <c r="AL27" s="244"/>
      <c r="AM27" s="245"/>
      <c r="AN27" s="70"/>
      <c r="AO27" s="206"/>
      <c r="AP27" s="207"/>
      <c r="AQ27" s="207"/>
      <c r="AR27" s="207"/>
      <c r="AS27" s="207"/>
      <c r="AT27" s="208"/>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x14ac:dyDescent="0.25">
      <c r="A28" s="70"/>
      <c r="B28" s="183"/>
      <c r="C28" s="183"/>
      <c r="D28" s="184"/>
      <c r="E28" s="224"/>
      <c r="F28" s="225"/>
      <c r="G28" s="225"/>
      <c r="H28" s="225"/>
      <c r="I28" s="226"/>
      <c r="J28" s="252" t="e">
        <f>IF(AND('Mapa final'!#REF!="Media",'Mapa final'!#REF!="Leve"),CONCATENATE("R",'Mapa final'!#REF!),"")</f>
        <v>#REF!</v>
      </c>
      <c r="K28" s="253"/>
      <c r="L28" s="253" t="e">
        <f>IF(AND('Mapa final'!#REF!="Media",'Mapa final'!#REF!="Leve"),CONCATENATE("R",'Mapa final'!#REF!),"")</f>
        <v>#REF!</v>
      </c>
      <c r="M28" s="253"/>
      <c r="N28" s="253" t="str">
        <f>IF(AND('Mapa final'!$L$60="Media",'Mapa final'!$P$60="Leve"),CONCATENATE("R",'Mapa final'!$A$60),"")</f>
        <v/>
      </c>
      <c r="O28" s="254"/>
      <c r="P28" s="252" t="e">
        <f>IF(AND('Mapa final'!#REF!="Media",'Mapa final'!#REF!="Menor"),CONCATENATE("R",'Mapa final'!#REF!),"")</f>
        <v>#REF!</v>
      </c>
      <c r="Q28" s="253"/>
      <c r="R28" s="253" t="e">
        <f>IF(AND('Mapa final'!#REF!="Media",'Mapa final'!#REF!="Menor"),CONCATENATE("R",'Mapa final'!#REF!),"")</f>
        <v>#REF!</v>
      </c>
      <c r="S28" s="253"/>
      <c r="T28" s="253" t="str">
        <f>IF(AND('Mapa final'!$L$60="Media",'Mapa final'!$P$60="Menor"),CONCATENATE("R",'Mapa final'!$A$60),"")</f>
        <v/>
      </c>
      <c r="U28" s="254"/>
      <c r="V28" s="252" t="e">
        <f>IF(AND('Mapa final'!#REF!="Media",'Mapa final'!#REF!="Moderado"),CONCATENATE("R",'Mapa final'!#REF!),"")</f>
        <v>#REF!</v>
      </c>
      <c r="W28" s="253"/>
      <c r="X28" s="253" t="e">
        <f>IF(AND('Mapa final'!#REF!="Media",'Mapa final'!#REF!="Moderado"),CONCATENATE("R",'Mapa final'!#REF!),"")</f>
        <v>#REF!</v>
      </c>
      <c r="Y28" s="253"/>
      <c r="Z28" s="253" t="str">
        <f>IF(AND('Mapa final'!$L$60="Media",'Mapa final'!$P$60="Moderado"),CONCATENATE("R",'Mapa final'!$A$60),"")</f>
        <v/>
      </c>
      <c r="AA28" s="254"/>
      <c r="AB28" s="235" t="e">
        <f>IF(AND('Mapa final'!#REF!="Media",'Mapa final'!#REF!="Mayor"),CONCATENATE("R",'Mapa final'!#REF!),"")</f>
        <v>#REF!</v>
      </c>
      <c r="AC28" s="232"/>
      <c r="AD28" s="230" t="e">
        <f>IF(AND('Mapa final'!#REF!="Media",'Mapa final'!#REF!="Mayor"),CONCATENATE("R",'Mapa final'!#REF!),"")</f>
        <v>#REF!</v>
      </c>
      <c r="AE28" s="230"/>
      <c r="AF28" s="230" t="str">
        <f>IF(AND('Mapa final'!$L$60="Media",'Mapa final'!$P$60="Mayor"),CONCATENATE("R",'Mapa final'!$A$60),"")</f>
        <v/>
      </c>
      <c r="AG28" s="231"/>
      <c r="AH28" s="243" t="e">
        <f>IF(AND('Mapa final'!#REF!="Media",'Mapa final'!#REF!="Catastrófico"),CONCATENATE("R",'Mapa final'!#REF!),"")</f>
        <v>#REF!</v>
      </c>
      <c r="AI28" s="244"/>
      <c r="AJ28" s="244" t="e">
        <f>IF(AND('Mapa final'!#REF!="Media",'Mapa final'!#REF!="Catastrófico"),CONCATENATE("R",'Mapa final'!#REF!),"")</f>
        <v>#REF!</v>
      </c>
      <c r="AK28" s="244"/>
      <c r="AL28" s="244" t="str">
        <f>IF(AND('Mapa final'!$L$60="Media",'Mapa final'!$P$60="Catastrófico"),CONCATENATE("R",'Mapa final'!$A$60),"")</f>
        <v/>
      </c>
      <c r="AM28" s="245"/>
      <c r="AN28" s="70"/>
      <c r="AO28" s="206"/>
      <c r="AP28" s="207"/>
      <c r="AQ28" s="207"/>
      <c r="AR28" s="207"/>
      <c r="AS28" s="207"/>
      <c r="AT28" s="208"/>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thickBot="1" x14ac:dyDescent="0.3">
      <c r="A29" s="70"/>
      <c r="B29" s="183"/>
      <c r="C29" s="183"/>
      <c r="D29" s="184"/>
      <c r="E29" s="227"/>
      <c r="F29" s="228"/>
      <c r="G29" s="228"/>
      <c r="H29" s="228"/>
      <c r="I29" s="229"/>
      <c r="J29" s="252"/>
      <c r="K29" s="253"/>
      <c r="L29" s="253"/>
      <c r="M29" s="253"/>
      <c r="N29" s="253"/>
      <c r="O29" s="254"/>
      <c r="P29" s="255"/>
      <c r="Q29" s="256"/>
      <c r="R29" s="256"/>
      <c r="S29" s="256"/>
      <c r="T29" s="256"/>
      <c r="U29" s="257"/>
      <c r="V29" s="255"/>
      <c r="W29" s="256"/>
      <c r="X29" s="256"/>
      <c r="Y29" s="256"/>
      <c r="Z29" s="256"/>
      <c r="AA29" s="257"/>
      <c r="AB29" s="240"/>
      <c r="AC29" s="241"/>
      <c r="AD29" s="241"/>
      <c r="AE29" s="241"/>
      <c r="AF29" s="241"/>
      <c r="AG29" s="242"/>
      <c r="AH29" s="246"/>
      <c r="AI29" s="247"/>
      <c r="AJ29" s="247"/>
      <c r="AK29" s="247"/>
      <c r="AL29" s="247"/>
      <c r="AM29" s="248"/>
      <c r="AN29" s="70"/>
      <c r="AO29" s="209"/>
      <c r="AP29" s="210"/>
      <c r="AQ29" s="210"/>
      <c r="AR29" s="210"/>
      <c r="AS29" s="210"/>
      <c r="AT29" s="211"/>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x14ac:dyDescent="0.25">
      <c r="A30" s="70"/>
      <c r="B30" s="183"/>
      <c r="C30" s="183"/>
      <c r="D30" s="184"/>
      <c r="E30" s="221" t="s">
        <v>112</v>
      </c>
      <c r="F30" s="222"/>
      <c r="G30" s="222"/>
      <c r="H30" s="222"/>
      <c r="I30" s="222"/>
      <c r="J30" s="267" t="str">
        <f ca="1">IF(AND('Mapa final'!$L$4="Baja",'Mapa final'!$P$4="Leve"),CONCATENATE("R",'Mapa final'!$A$4),"")</f>
        <v/>
      </c>
      <c r="K30" s="268"/>
      <c r="L30" s="268" t="str">
        <f ca="1">IF(AND('Mapa final'!$L$10="Baja",'Mapa final'!$P$10="Leve"),CONCATENATE("R",'Mapa final'!$A$10),"")</f>
        <v/>
      </c>
      <c r="M30" s="268"/>
      <c r="N30" s="268" t="str">
        <f ca="1">IF(AND('Mapa final'!$L$16="Baja",'Mapa final'!$P$16="Leve"),CONCATENATE("R",'Mapa final'!$A$16),"")</f>
        <v/>
      </c>
      <c r="O30" s="269"/>
      <c r="P30" s="259" t="str">
        <f ca="1">IF(AND('Mapa final'!$L$4="Baja",'Mapa final'!$P$4="Menor"),CONCATENATE("R",'Mapa final'!$A$4),"")</f>
        <v/>
      </c>
      <c r="Q30" s="259"/>
      <c r="R30" s="259" t="str">
        <f ca="1">IF(AND('Mapa final'!$L$10="Baja",'Mapa final'!$P$10="Menor"),CONCATENATE("R",'Mapa final'!$A$10),"")</f>
        <v/>
      </c>
      <c r="S30" s="259"/>
      <c r="T30" s="259" t="str">
        <f ca="1">IF(AND('Mapa final'!$L$16="Baja",'Mapa final'!$P$16="Menor"),CONCATENATE("R",'Mapa final'!$A$16),"")</f>
        <v/>
      </c>
      <c r="U30" s="260"/>
      <c r="V30" s="258" t="str">
        <f ca="1">IF(AND('Mapa final'!$L$4="Baja",'Mapa final'!$P$4="Moderado"),CONCATENATE("R",'Mapa final'!$A$4),"")</f>
        <v>R1</v>
      </c>
      <c r="W30" s="259"/>
      <c r="X30" s="259" t="str">
        <f ca="1">IF(AND('Mapa final'!$L$10="Baja",'Mapa final'!$P$10="Moderado"),CONCATENATE("R",'Mapa final'!$A$10),"")</f>
        <v/>
      </c>
      <c r="Y30" s="259"/>
      <c r="Z30" s="259" t="str">
        <f ca="1">IF(AND('Mapa final'!$L$16="Baja",'Mapa final'!$P$16="Moderado"),CONCATENATE("R",'Mapa final'!$A$16),"")</f>
        <v/>
      </c>
      <c r="AA30" s="260"/>
      <c r="AB30" s="233" t="str">
        <f ca="1">IF(AND('Mapa final'!$L$4="Baja",'Mapa final'!$P$4="Mayor"),CONCATENATE("R",'Mapa final'!$A$4),"")</f>
        <v/>
      </c>
      <c r="AC30" s="234"/>
      <c r="AD30" s="234" t="str">
        <f ca="1">IF(AND('Mapa final'!$L$10="Baja",'Mapa final'!$P$10="Mayor"),CONCATENATE("R",'Mapa final'!$A$10),"")</f>
        <v/>
      </c>
      <c r="AE30" s="234"/>
      <c r="AF30" s="234" t="str">
        <f ca="1">IF(AND('Mapa final'!$L$16="Baja",'Mapa final'!$P$16="Mayor"),CONCATENATE("R",'Mapa final'!$A$16),"")</f>
        <v/>
      </c>
      <c r="AG30" s="236"/>
      <c r="AH30" s="249" t="str">
        <f ca="1">IF(AND('Mapa final'!$L$4="Baja",'Mapa final'!$P$4="Catastrófico"),CONCATENATE("R",'Mapa final'!$A$4),"")</f>
        <v/>
      </c>
      <c r="AI30" s="250"/>
      <c r="AJ30" s="250" t="str">
        <f ca="1">IF(AND('Mapa final'!$L$10="Baja",'Mapa final'!$P$10="Catastrófico"),CONCATENATE("R",'Mapa final'!$A$10),"")</f>
        <v/>
      </c>
      <c r="AK30" s="250"/>
      <c r="AL30" s="250" t="str">
        <f ca="1">IF(AND('Mapa final'!$L$16="Baja",'Mapa final'!$P$16="Catastrófico"),CONCATENATE("R",'Mapa final'!$A$16),"")</f>
        <v/>
      </c>
      <c r="AM30" s="251"/>
      <c r="AN30" s="70"/>
      <c r="AO30" s="212" t="s">
        <v>80</v>
      </c>
      <c r="AP30" s="213"/>
      <c r="AQ30" s="213"/>
      <c r="AR30" s="213"/>
      <c r="AS30" s="213"/>
      <c r="AT30" s="214"/>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x14ac:dyDescent="0.25">
      <c r="A31" s="70"/>
      <c r="B31" s="183"/>
      <c r="C31" s="183"/>
      <c r="D31" s="184"/>
      <c r="E31" s="224"/>
      <c r="F31" s="225"/>
      <c r="G31" s="225"/>
      <c r="H31" s="225"/>
      <c r="I31" s="238"/>
      <c r="J31" s="263"/>
      <c r="K31" s="261"/>
      <c r="L31" s="261"/>
      <c r="M31" s="261"/>
      <c r="N31" s="261"/>
      <c r="O31" s="262"/>
      <c r="P31" s="253"/>
      <c r="Q31" s="253"/>
      <c r="R31" s="253"/>
      <c r="S31" s="253"/>
      <c r="T31" s="253"/>
      <c r="U31" s="254"/>
      <c r="V31" s="252"/>
      <c r="W31" s="253"/>
      <c r="X31" s="253"/>
      <c r="Y31" s="253"/>
      <c r="Z31" s="253"/>
      <c r="AA31" s="254"/>
      <c r="AB31" s="235"/>
      <c r="AC31" s="232"/>
      <c r="AD31" s="232"/>
      <c r="AE31" s="232"/>
      <c r="AF31" s="232"/>
      <c r="AG31" s="231"/>
      <c r="AH31" s="243"/>
      <c r="AI31" s="244"/>
      <c r="AJ31" s="244"/>
      <c r="AK31" s="244"/>
      <c r="AL31" s="244"/>
      <c r="AM31" s="245"/>
      <c r="AN31" s="70"/>
      <c r="AO31" s="215"/>
      <c r="AP31" s="216"/>
      <c r="AQ31" s="216"/>
      <c r="AR31" s="216"/>
      <c r="AS31" s="216"/>
      <c r="AT31" s="217"/>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x14ac:dyDescent="0.25">
      <c r="A32" s="70"/>
      <c r="B32" s="183"/>
      <c r="C32" s="183"/>
      <c r="D32" s="184"/>
      <c r="E32" s="224"/>
      <c r="F32" s="225"/>
      <c r="G32" s="225"/>
      <c r="H32" s="225"/>
      <c r="I32" s="238"/>
      <c r="J32" s="263" t="str">
        <f ca="1">IF(AND('Mapa final'!$L$22="Baja",'Mapa final'!$P$22="Leve"),CONCATENATE("R",'Mapa final'!$A$22),"")</f>
        <v/>
      </c>
      <c r="K32" s="261"/>
      <c r="L32" s="261" t="str">
        <f ca="1">IF(AND('Mapa final'!$L$28="Baja",'Mapa final'!$P$28="Leve"),CONCATENATE("R",'Mapa final'!$A$28),"")</f>
        <v/>
      </c>
      <c r="M32" s="261"/>
      <c r="N32" s="261" t="str">
        <f ca="1">IF(AND('Mapa final'!$L$34="Baja",'Mapa final'!$P$34="Leve"),CONCATENATE("R",'Mapa final'!$A$34),"")</f>
        <v/>
      </c>
      <c r="O32" s="262"/>
      <c r="P32" s="253" t="str">
        <f ca="1">IF(AND('Mapa final'!$L$22="Baja",'Mapa final'!$P$22="Menor"),CONCATENATE("R",'Mapa final'!$A$22),"")</f>
        <v/>
      </c>
      <c r="Q32" s="253"/>
      <c r="R32" s="253" t="str">
        <f ca="1">IF(AND('Mapa final'!$L$28="Baja",'Mapa final'!$P$28="Menor"),CONCATENATE("R",'Mapa final'!$A$28),"")</f>
        <v/>
      </c>
      <c r="S32" s="253"/>
      <c r="T32" s="253" t="str">
        <f ca="1">IF(AND('Mapa final'!$L$34="Baja",'Mapa final'!$P$34="Menor"),CONCATENATE("R",'Mapa final'!$A$34),"")</f>
        <v/>
      </c>
      <c r="U32" s="254"/>
      <c r="V32" s="252" t="str">
        <f ca="1">IF(AND('Mapa final'!$L$22="Baja",'Mapa final'!$P$22="Moderado"),CONCATENATE("R",'Mapa final'!$A$22),"")</f>
        <v>R4</v>
      </c>
      <c r="W32" s="253"/>
      <c r="X32" s="253" t="str">
        <f ca="1">IF(AND('Mapa final'!$L$28="Baja",'Mapa final'!$P$28="Moderado"),CONCATENATE("R",'Mapa final'!$A$28),"")</f>
        <v/>
      </c>
      <c r="Y32" s="253"/>
      <c r="Z32" s="253" t="str">
        <f ca="1">IF(AND('Mapa final'!$L$34="Baja",'Mapa final'!$P$34="Moderado"),CONCATENATE("R",'Mapa final'!$A$34),"")</f>
        <v>R6</v>
      </c>
      <c r="AA32" s="254"/>
      <c r="AB32" s="235" t="str">
        <f ca="1">IF(AND('Mapa final'!$L$22="Baja",'Mapa final'!$P$22="Mayor"),CONCATENATE("R",'Mapa final'!$A$22),"")</f>
        <v/>
      </c>
      <c r="AC32" s="232"/>
      <c r="AD32" s="230" t="str">
        <f ca="1">IF(AND('Mapa final'!$L$28="Baja",'Mapa final'!$P$28="Mayor"),CONCATENATE("R",'Mapa final'!$A$28),"")</f>
        <v/>
      </c>
      <c r="AE32" s="230"/>
      <c r="AF32" s="230" t="str">
        <f ca="1">IF(AND('Mapa final'!$L$34="Baja",'Mapa final'!$P$34="Mayor"),CONCATENATE("R",'Mapa final'!$A$34),"")</f>
        <v/>
      </c>
      <c r="AG32" s="231"/>
      <c r="AH32" s="243" t="str">
        <f ca="1">IF(AND('Mapa final'!$L$22="Baja",'Mapa final'!$P$22="Catastrófico"),CONCATENATE("R",'Mapa final'!$A$22),"")</f>
        <v/>
      </c>
      <c r="AI32" s="244"/>
      <c r="AJ32" s="244" t="str">
        <f ca="1">IF(AND('Mapa final'!$L$28="Baja",'Mapa final'!$P$28="Catastrófico"),CONCATENATE("R",'Mapa final'!$A$28),"")</f>
        <v/>
      </c>
      <c r="AK32" s="244"/>
      <c r="AL32" s="244" t="str">
        <f ca="1">IF(AND('Mapa final'!$L$34="Baja",'Mapa final'!$P$34="Catastrófico"),CONCATENATE("R",'Mapa final'!$A$34),"")</f>
        <v/>
      </c>
      <c r="AM32" s="245"/>
      <c r="AN32" s="70"/>
      <c r="AO32" s="215"/>
      <c r="AP32" s="216"/>
      <c r="AQ32" s="216"/>
      <c r="AR32" s="216"/>
      <c r="AS32" s="216"/>
      <c r="AT32" s="217"/>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x14ac:dyDescent="0.25">
      <c r="A33" s="70"/>
      <c r="B33" s="183"/>
      <c r="C33" s="183"/>
      <c r="D33" s="184"/>
      <c r="E33" s="224"/>
      <c r="F33" s="225"/>
      <c r="G33" s="225"/>
      <c r="H33" s="225"/>
      <c r="I33" s="238"/>
      <c r="J33" s="263"/>
      <c r="K33" s="261"/>
      <c r="L33" s="261"/>
      <c r="M33" s="261"/>
      <c r="N33" s="261"/>
      <c r="O33" s="262"/>
      <c r="P33" s="253"/>
      <c r="Q33" s="253"/>
      <c r="R33" s="253"/>
      <c r="S33" s="253"/>
      <c r="T33" s="253"/>
      <c r="U33" s="254"/>
      <c r="V33" s="252"/>
      <c r="W33" s="253"/>
      <c r="X33" s="253"/>
      <c r="Y33" s="253"/>
      <c r="Z33" s="253"/>
      <c r="AA33" s="254"/>
      <c r="AB33" s="235"/>
      <c r="AC33" s="232"/>
      <c r="AD33" s="230"/>
      <c r="AE33" s="230"/>
      <c r="AF33" s="230"/>
      <c r="AG33" s="231"/>
      <c r="AH33" s="243"/>
      <c r="AI33" s="244"/>
      <c r="AJ33" s="244"/>
      <c r="AK33" s="244"/>
      <c r="AL33" s="244"/>
      <c r="AM33" s="245"/>
      <c r="AN33" s="70"/>
      <c r="AO33" s="215"/>
      <c r="AP33" s="216"/>
      <c r="AQ33" s="216"/>
      <c r="AR33" s="216"/>
      <c r="AS33" s="216"/>
      <c r="AT33" s="217"/>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x14ac:dyDescent="0.25">
      <c r="A34" s="70"/>
      <c r="B34" s="183"/>
      <c r="C34" s="183"/>
      <c r="D34" s="184"/>
      <c r="E34" s="224"/>
      <c r="F34" s="225"/>
      <c r="G34" s="225"/>
      <c r="H34" s="225"/>
      <c r="I34" s="238"/>
      <c r="J34" s="263" t="str">
        <f ca="1">IF(AND('Mapa final'!$L$40="Baja",'Mapa final'!$P$40="Leve"),CONCATENATE("R",'Mapa final'!$A$40),"")</f>
        <v/>
      </c>
      <c r="K34" s="261"/>
      <c r="L34" s="261" t="str">
        <f ca="1">IF(AND('Mapa final'!$L$46="Baja",'Mapa final'!$P$46="Leve"),CONCATENATE("R",'Mapa final'!$A$46),"")</f>
        <v/>
      </c>
      <c r="M34" s="261"/>
      <c r="N34" s="261" t="str">
        <f ca="1">IF(AND('Mapa final'!$L$52="Baja",'Mapa final'!$P$52="Leve"),CONCATENATE("R",'Mapa final'!$A$52),"")</f>
        <v/>
      </c>
      <c r="O34" s="262"/>
      <c r="P34" s="253" t="str">
        <f ca="1">IF(AND('Mapa final'!$L$40="Baja",'Mapa final'!$P$40="Menor"),CONCATENATE("R",'Mapa final'!$A$40),"")</f>
        <v/>
      </c>
      <c r="Q34" s="253"/>
      <c r="R34" s="253" t="str">
        <f ca="1">IF(AND('Mapa final'!$L$46="Baja",'Mapa final'!$P$46="Menor"),CONCATENATE("R",'Mapa final'!$A$46),"")</f>
        <v/>
      </c>
      <c r="S34" s="253"/>
      <c r="T34" s="253" t="str">
        <f ca="1">IF(AND('Mapa final'!$L$52="Baja",'Mapa final'!$P$52="Menor"),CONCATENATE("R",'Mapa final'!$A$52),"")</f>
        <v/>
      </c>
      <c r="U34" s="254"/>
      <c r="V34" s="252" t="str">
        <f ca="1">IF(AND('Mapa final'!$L$40="Baja",'Mapa final'!$P$40="Moderado"),CONCATENATE("R",'Mapa final'!$A$40),"")</f>
        <v/>
      </c>
      <c r="W34" s="253"/>
      <c r="X34" s="253" t="str">
        <f ca="1">IF(AND('Mapa final'!$L$46="Baja",'Mapa final'!$P$46="Moderado"),CONCATENATE("R",'Mapa final'!$A$46),"")</f>
        <v/>
      </c>
      <c r="Y34" s="253"/>
      <c r="Z34" s="253" t="str">
        <f ca="1">IF(AND('Mapa final'!$L$52="Baja",'Mapa final'!$P$52="Moderado"),CONCATENATE("R",'Mapa final'!$A$52),"")</f>
        <v/>
      </c>
      <c r="AA34" s="254"/>
      <c r="AB34" s="235" t="str">
        <f ca="1">IF(AND('Mapa final'!$L$40="Baja",'Mapa final'!$P$40="Mayor"),CONCATENATE("R",'Mapa final'!$A$40),"")</f>
        <v/>
      </c>
      <c r="AC34" s="232"/>
      <c r="AD34" s="230" t="str">
        <f ca="1">IF(AND('Mapa final'!$L$46="Baja",'Mapa final'!$P$46="Mayor"),CONCATENATE("R",'Mapa final'!$A$46),"")</f>
        <v/>
      </c>
      <c r="AE34" s="230"/>
      <c r="AF34" s="230" t="str">
        <f ca="1">IF(AND('Mapa final'!$L$52="Baja",'Mapa final'!$P$52="Mayor"),CONCATENATE("R",'Mapa final'!$A$52),"")</f>
        <v/>
      </c>
      <c r="AG34" s="231"/>
      <c r="AH34" s="243" t="str">
        <f ca="1">IF(AND('Mapa final'!$L$40="Baja",'Mapa final'!$P$40="Catastrófico"),CONCATENATE("R",'Mapa final'!$A$40),"")</f>
        <v/>
      </c>
      <c r="AI34" s="244"/>
      <c r="AJ34" s="244" t="str">
        <f ca="1">IF(AND('Mapa final'!$L$46="Baja",'Mapa final'!$P$46="Catastrófico"),CONCATENATE("R",'Mapa final'!$A$46),"")</f>
        <v/>
      </c>
      <c r="AK34" s="244"/>
      <c r="AL34" s="244" t="str">
        <f ca="1">IF(AND('Mapa final'!$L$52="Baja",'Mapa final'!$P$52="Catastrófico"),CONCATENATE("R",'Mapa final'!$A$52),"")</f>
        <v/>
      </c>
      <c r="AM34" s="245"/>
      <c r="AN34" s="70"/>
      <c r="AO34" s="215"/>
      <c r="AP34" s="216"/>
      <c r="AQ34" s="216"/>
      <c r="AR34" s="216"/>
      <c r="AS34" s="216"/>
      <c r="AT34" s="217"/>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x14ac:dyDescent="0.25">
      <c r="A35" s="70"/>
      <c r="B35" s="183"/>
      <c r="C35" s="183"/>
      <c r="D35" s="184"/>
      <c r="E35" s="224"/>
      <c r="F35" s="225"/>
      <c r="G35" s="225"/>
      <c r="H35" s="225"/>
      <c r="I35" s="238"/>
      <c r="J35" s="263"/>
      <c r="K35" s="261"/>
      <c r="L35" s="261"/>
      <c r="M35" s="261"/>
      <c r="N35" s="261"/>
      <c r="O35" s="262"/>
      <c r="P35" s="253"/>
      <c r="Q35" s="253"/>
      <c r="R35" s="253"/>
      <c r="S35" s="253"/>
      <c r="T35" s="253"/>
      <c r="U35" s="254"/>
      <c r="V35" s="252"/>
      <c r="W35" s="253"/>
      <c r="X35" s="253"/>
      <c r="Y35" s="253"/>
      <c r="Z35" s="253"/>
      <c r="AA35" s="254"/>
      <c r="AB35" s="235"/>
      <c r="AC35" s="232"/>
      <c r="AD35" s="230"/>
      <c r="AE35" s="230"/>
      <c r="AF35" s="230"/>
      <c r="AG35" s="231"/>
      <c r="AH35" s="243"/>
      <c r="AI35" s="244"/>
      <c r="AJ35" s="244"/>
      <c r="AK35" s="244"/>
      <c r="AL35" s="244"/>
      <c r="AM35" s="245"/>
      <c r="AN35" s="70"/>
      <c r="AO35" s="215"/>
      <c r="AP35" s="216"/>
      <c r="AQ35" s="216"/>
      <c r="AR35" s="216"/>
      <c r="AS35" s="216"/>
      <c r="AT35" s="217"/>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x14ac:dyDescent="0.25">
      <c r="A36" s="70"/>
      <c r="B36" s="183"/>
      <c r="C36" s="183"/>
      <c r="D36" s="184"/>
      <c r="E36" s="224"/>
      <c r="F36" s="225"/>
      <c r="G36" s="225"/>
      <c r="H36" s="225"/>
      <c r="I36" s="238"/>
      <c r="J36" s="263" t="e">
        <f>IF(AND('Mapa final'!#REF!="Baja",'Mapa final'!#REF!="Leve"),CONCATENATE("R",'Mapa final'!#REF!),"")</f>
        <v>#REF!</v>
      </c>
      <c r="K36" s="261"/>
      <c r="L36" s="261" t="e">
        <f>IF(AND('Mapa final'!#REF!="Baja",'Mapa final'!#REF!="Leve"),CONCATENATE("R",'Mapa final'!#REF!),"")</f>
        <v>#REF!</v>
      </c>
      <c r="M36" s="261"/>
      <c r="N36" s="261" t="str">
        <f>IF(AND('Mapa final'!$L$60="Baja",'Mapa final'!$P$60="Leve"),CONCATENATE("R",'Mapa final'!$A$60),"")</f>
        <v/>
      </c>
      <c r="O36" s="262"/>
      <c r="P36" s="253" t="e">
        <f>IF(AND('Mapa final'!#REF!="Baja",'Mapa final'!#REF!="Menor"),CONCATENATE("R",'Mapa final'!#REF!),"")</f>
        <v>#REF!</v>
      </c>
      <c r="Q36" s="253"/>
      <c r="R36" s="253" t="e">
        <f>IF(AND('Mapa final'!#REF!="Baja",'Mapa final'!#REF!="Menor"),CONCATENATE("R",'Mapa final'!#REF!),"")</f>
        <v>#REF!</v>
      </c>
      <c r="S36" s="253"/>
      <c r="T36" s="253" t="str">
        <f>IF(AND('Mapa final'!$L$60="Baja",'Mapa final'!$P$60="Menor"),CONCATENATE("R",'Mapa final'!$A$60),"")</f>
        <v/>
      </c>
      <c r="U36" s="254"/>
      <c r="V36" s="252" t="e">
        <f>IF(AND('Mapa final'!#REF!="Baja",'Mapa final'!#REF!="Moderado"),CONCATENATE("R",'Mapa final'!#REF!),"")</f>
        <v>#REF!</v>
      </c>
      <c r="W36" s="253"/>
      <c r="X36" s="253" t="e">
        <f>IF(AND('Mapa final'!#REF!="Baja",'Mapa final'!#REF!="Moderado"),CONCATENATE("R",'Mapa final'!#REF!),"")</f>
        <v>#REF!</v>
      </c>
      <c r="Y36" s="253"/>
      <c r="Z36" s="253" t="str">
        <f>IF(AND('Mapa final'!$L$60="Baja",'Mapa final'!$P$60="Moderado"),CONCATENATE("R",'Mapa final'!$A$60),"")</f>
        <v/>
      </c>
      <c r="AA36" s="254"/>
      <c r="AB36" s="235" t="e">
        <f>IF(AND('Mapa final'!#REF!="Baja",'Mapa final'!#REF!="Mayor"),CONCATENATE("R",'Mapa final'!#REF!),"")</f>
        <v>#REF!</v>
      </c>
      <c r="AC36" s="232"/>
      <c r="AD36" s="230" t="e">
        <f>IF(AND('Mapa final'!#REF!="Baja",'Mapa final'!#REF!="Mayor"),CONCATENATE("R",'Mapa final'!#REF!),"")</f>
        <v>#REF!</v>
      </c>
      <c r="AE36" s="230"/>
      <c r="AF36" s="230" t="str">
        <f>IF(AND('Mapa final'!$L$60="Baja",'Mapa final'!$P$60="Mayor"),CONCATENATE("R",'Mapa final'!$A$60),"")</f>
        <v/>
      </c>
      <c r="AG36" s="231"/>
      <c r="AH36" s="243" t="e">
        <f>IF(AND('Mapa final'!#REF!="Baja",'Mapa final'!#REF!="Catastrófico"),CONCATENATE("R",'Mapa final'!#REF!),"")</f>
        <v>#REF!</v>
      </c>
      <c r="AI36" s="244"/>
      <c r="AJ36" s="244" t="e">
        <f>IF(AND('Mapa final'!#REF!="Baja",'Mapa final'!#REF!="Catastrófico"),CONCATENATE("R",'Mapa final'!#REF!),"")</f>
        <v>#REF!</v>
      </c>
      <c r="AK36" s="244"/>
      <c r="AL36" s="244" t="str">
        <f>IF(AND('Mapa final'!$L$60="Baja",'Mapa final'!$P$60="Catastrófico"),CONCATENATE("R",'Mapa final'!$A$60),"")</f>
        <v/>
      </c>
      <c r="AM36" s="245"/>
      <c r="AN36" s="70"/>
      <c r="AO36" s="215"/>
      <c r="AP36" s="216"/>
      <c r="AQ36" s="216"/>
      <c r="AR36" s="216"/>
      <c r="AS36" s="216"/>
      <c r="AT36" s="217"/>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thickBot="1" x14ac:dyDescent="0.3">
      <c r="A37" s="70"/>
      <c r="B37" s="183"/>
      <c r="C37" s="183"/>
      <c r="D37" s="184"/>
      <c r="E37" s="227"/>
      <c r="F37" s="228"/>
      <c r="G37" s="228"/>
      <c r="H37" s="228"/>
      <c r="I37" s="228"/>
      <c r="J37" s="264"/>
      <c r="K37" s="265"/>
      <c r="L37" s="265"/>
      <c r="M37" s="265"/>
      <c r="N37" s="265"/>
      <c r="O37" s="266"/>
      <c r="P37" s="256"/>
      <c r="Q37" s="256"/>
      <c r="R37" s="256"/>
      <c r="S37" s="256"/>
      <c r="T37" s="256"/>
      <c r="U37" s="257"/>
      <c r="V37" s="255"/>
      <c r="W37" s="256"/>
      <c r="X37" s="256"/>
      <c r="Y37" s="256"/>
      <c r="Z37" s="256"/>
      <c r="AA37" s="257"/>
      <c r="AB37" s="240"/>
      <c r="AC37" s="241"/>
      <c r="AD37" s="241"/>
      <c r="AE37" s="241"/>
      <c r="AF37" s="241"/>
      <c r="AG37" s="242"/>
      <c r="AH37" s="246"/>
      <c r="AI37" s="247"/>
      <c r="AJ37" s="247"/>
      <c r="AK37" s="247"/>
      <c r="AL37" s="247"/>
      <c r="AM37" s="248"/>
      <c r="AN37" s="70"/>
      <c r="AO37" s="218"/>
      <c r="AP37" s="219"/>
      <c r="AQ37" s="219"/>
      <c r="AR37" s="219"/>
      <c r="AS37" s="219"/>
      <c r="AT37" s="22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x14ac:dyDescent="0.25">
      <c r="A38" s="70"/>
      <c r="B38" s="183"/>
      <c r="C38" s="183"/>
      <c r="D38" s="184"/>
      <c r="E38" s="221" t="s">
        <v>111</v>
      </c>
      <c r="F38" s="222"/>
      <c r="G38" s="222"/>
      <c r="H38" s="222"/>
      <c r="I38" s="223"/>
      <c r="J38" s="267" t="str">
        <f ca="1">IF(AND('Mapa final'!$L$4="Muy Baja",'Mapa final'!$P$4="Leve"),CONCATENATE("R",'Mapa final'!$A$4),"")</f>
        <v/>
      </c>
      <c r="K38" s="268"/>
      <c r="L38" s="268" t="str">
        <f ca="1">IF(AND('Mapa final'!$L$10="Muy Baja",'Mapa final'!$P$10="Leve"),CONCATENATE("R",'Mapa final'!$A$10),"")</f>
        <v/>
      </c>
      <c r="M38" s="268"/>
      <c r="N38" s="268" t="str">
        <f ca="1">IF(AND('Mapa final'!$L$16="Muy Baja",'Mapa final'!$P$16="Leve"),CONCATENATE("R",'Mapa final'!$A$16),"")</f>
        <v/>
      </c>
      <c r="O38" s="269"/>
      <c r="P38" s="267" t="str">
        <f ca="1">IF(AND('Mapa final'!$L$4="Muy Baja",'Mapa final'!$P$4="Menor"),CONCATENATE("R",'Mapa final'!$A$4),"")</f>
        <v/>
      </c>
      <c r="Q38" s="268"/>
      <c r="R38" s="268" t="str">
        <f ca="1">IF(AND('Mapa final'!$L$10="Muy Baja",'Mapa final'!$P$10="Menor"),CONCATENATE("R",'Mapa final'!$A$10),"")</f>
        <v/>
      </c>
      <c r="S38" s="268"/>
      <c r="T38" s="268" t="str">
        <f ca="1">IF(AND('Mapa final'!$L$16="Muy Baja",'Mapa final'!$P$16="Menor"),CONCATENATE("R",'Mapa final'!$A$16),"")</f>
        <v/>
      </c>
      <c r="U38" s="269"/>
      <c r="V38" s="258" t="str">
        <f ca="1">IF(AND('Mapa final'!$L$4="Muy Baja",'Mapa final'!$P$4="Moderado"),CONCATENATE("R",'Mapa final'!$A$4),"")</f>
        <v/>
      </c>
      <c r="W38" s="259"/>
      <c r="X38" s="259" t="str">
        <f ca="1">IF(AND('Mapa final'!$L$10="Muy Baja",'Mapa final'!$P$10="Moderado"),CONCATENATE("R",'Mapa final'!$A$10),"")</f>
        <v/>
      </c>
      <c r="Y38" s="259"/>
      <c r="Z38" s="259" t="str">
        <f ca="1">IF(AND('Mapa final'!$L$16="Muy Baja",'Mapa final'!$P$16="Moderado"),CONCATENATE("R",'Mapa final'!$A$16),"")</f>
        <v/>
      </c>
      <c r="AA38" s="260"/>
      <c r="AB38" s="233" t="str">
        <f ca="1">IF(AND('Mapa final'!$L$4="Muy Baja",'Mapa final'!$P$4="Mayor"),CONCATENATE("R",'Mapa final'!$A$4),"")</f>
        <v/>
      </c>
      <c r="AC38" s="234"/>
      <c r="AD38" s="234" t="str">
        <f ca="1">IF(AND('Mapa final'!$L$10="Muy Baja",'Mapa final'!$P$10="Mayor"),CONCATENATE("R",'Mapa final'!$A$10),"")</f>
        <v/>
      </c>
      <c r="AE38" s="234"/>
      <c r="AF38" s="234" t="str">
        <f ca="1">IF(AND('Mapa final'!$L$16="Muy Baja",'Mapa final'!$P$16="Mayor"),CONCATENATE("R",'Mapa final'!$A$16),"")</f>
        <v/>
      </c>
      <c r="AG38" s="236"/>
      <c r="AH38" s="249" t="str">
        <f ca="1">IF(AND('Mapa final'!$L$4="Muy Baja",'Mapa final'!$P$4="Catastrófico"),CONCATENATE("R",'Mapa final'!$A$4),"")</f>
        <v/>
      </c>
      <c r="AI38" s="250"/>
      <c r="AJ38" s="250" t="str">
        <f ca="1">IF(AND('Mapa final'!$L$10="Muy Baja",'Mapa final'!$P$10="Catastrófico"),CONCATENATE("R",'Mapa final'!$A$10),"")</f>
        <v/>
      </c>
      <c r="AK38" s="250"/>
      <c r="AL38" s="250" t="str">
        <f ca="1">IF(AND('Mapa final'!$L$16="Muy Baja",'Mapa final'!$P$16="Catastrófico"),CONCATENATE("R",'Mapa final'!$A$16),"")</f>
        <v/>
      </c>
      <c r="AM38" s="251"/>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x14ac:dyDescent="0.25">
      <c r="A39" s="70"/>
      <c r="B39" s="183"/>
      <c r="C39" s="183"/>
      <c r="D39" s="184"/>
      <c r="E39" s="224"/>
      <c r="F39" s="225"/>
      <c r="G39" s="225"/>
      <c r="H39" s="225"/>
      <c r="I39" s="226"/>
      <c r="J39" s="263"/>
      <c r="K39" s="261"/>
      <c r="L39" s="261"/>
      <c r="M39" s="261"/>
      <c r="N39" s="261"/>
      <c r="O39" s="262"/>
      <c r="P39" s="263"/>
      <c r="Q39" s="261"/>
      <c r="R39" s="261"/>
      <c r="S39" s="261"/>
      <c r="T39" s="261"/>
      <c r="U39" s="262"/>
      <c r="V39" s="252"/>
      <c r="W39" s="253"/>
      <c r="X39" s="253"/>
      <c r="Y39" s="253"/>
      <c r="Z39" s="253"/>
      <c r="AA39" s="254"/>
      <c r="AB39" s="235"/>
      <c r="AC39" s="232"/>
      <c r="AD39" s="232"/>
      <c r="AE39" s="232"/>
      <c r="AF39" s="232"/>
      <c r="AG39" s="231"/>
      <c r="AH39" s="243"/>
      <c r="AI39" s="244"/>
      <c r="AJ39" s="244"/>
      <c r="AK39" s="244"/>
      <c r="AL39" s="244"/>
      <c r="AM39" s="245"/>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x14ac:dyDescent="0.25">
      <c r="A40" s="70"/>
      <c r="B40" s="183"/>
      <c r="C40" s="183"/>
      <c r="D40" s="184"/>
      <c r="E40" s="224"/>
      <c r="F40" s="225"/>
      <c r="G40" s="225"/>
      <c r="H40" s="225"/>
      <c r="I40" s="226"/>
      <c r="J40" s="263" t="str">
        <f ca="1">IF(AND('Mapa final'!$L$22="Muy Baja",'Mapa final'!$P$22="Leve"),CONCATENATE("R",'Mapa final'!$A$22),"")</f>
        <v/>
      </c>
      <c r="K40" s="261"/>
      <c r="L40" s="261" t="str">
        <f ca="1">IF(AND('Mapa final'!$L$28="Muy Baja",'Mapa final'!$P$28="Leve"),CONCATENATE("R",'Mapa final'!$A$28),"")</f>
        <v/>
      </c>
      <c r="M40" s="261"/>
      <c r="N40" s="261" t="str">
        <f ca="1">IF(AND('Mapa final'!$L$34="Muy Baja",'Mapa final'!$P$34="Leve"),CONCATENATE("R",'Mapa final'!$A$34),"")</f>
        <v/>
      </c>
      <c r="O40" s="262"/>
      <c r="P40" s="263" t="str">
        <f ca="1">IF(AND('Mapa final'!$L$22="Muy Baja",'Mapa final'!$P$22="Menor"),CONCATENATE("R",'Mapa final'!$A$22),"")</f>
        <v/>
      </c>
      <c r="Q40" s="261"/>
      <c r="R40" s="261" t="str">
        <f ca="1">IF(AND('Mapa final'!$L$28="Muy Baja",'Mapa final'!$P$28="Menor"),CONCATENATE("R",'Mapa final'!$A$28),"")</f>
        <v/>
      </c>
      <c r="S40" s="261"/>
      <c r="T40" s="261" t="str">
        <f ca="1">IF(AND('Mapa final'!$L$34="Muy Baja",'Mapa final'!$P$34="Menor"),CONCATENATE("R",'Mapa final'!$A$34),"")</f>
        <v/>
      </c>
      <c r="U40" s="262"/>
      <c r="V40" s="252" t="str">
        <f ca="1">IF(AND('Mapa final'!$L$22="Muy Baja",'Mapa final'!$P$22="Moderado"),CONCATENATE("R",'Mapa final'!$A$22),"")</f>
        <v/>
      </c>
      <c r="W40" s="253"/>
      <c r="X40" s="253" t="str">
        <f ca="1">IF(AND('Mapa final'!$L$28="Muy Baja",'Mapa final'!$P$28="Moderado"),CONCATENATE("R",'Mapa final'!$A$28),"")</f>
        <v/>
      </c>
      <c r="Y40" s="253"/>
      <c r="Z40" s="253" t="str">
        <f ca="1">IF(AND('Mapa final'!$L$34="Muy Baja",'Mapa final'!$P$34="Moderado"),CONCATENATE("R",'Mapa final'!$A$34),"")</f>
        <v/>
      </c>
      <c r="AA40" s="254"/>
      <c r="AB40" s="235" t="str">
        <f ca="1">IF(AND('Mapa final'!$L$22="Muy Baja",'Mapa final'!$P$22="Mayor"),CONCATENATE("R",'Mapa final'!$A$22),"")</f>
        <v/>
      </c>
      <c r="AC40" s="232"/>
      <c r="AD40" s="230" t="str">
        <f ca="1">IF(AND('Mapa final'!$L$28="Muy Baja",'Mapa final'!$P$28="Mayor"),CONCATENATE("R",'Mapa final'!$A$28),"")</f>
        <v/>
      </c>
      <c r="AE40" s="230"/>
      <c r="AF40" s="230" t="str">
        <f ca="1">IF(AND('Mapa final'!$L$34="Muy Baja",'Mapa final'!$P$34="Mayor"),CONCATENATE("R",'Mapa final'!$A$34),"")</f>
        <v/>
      </c>
      <c r="AG40" s="231"/>
      <c r="AH40" s="243" t="str">
        <f ca="1">IF(AND('Mapa final'!$L$22="Muy Baja",'Mapa final'!$P$22="Catastrófico"),CONCATENATE("R",'Mapa final'!$A$22),"")</f>
        <v/>
      </c>
      <c r="AI40" s="244"/>
      <c r="AJ40" s="244" t="str">
        <f ca="1">IF(AND('Mapa final'!$L$28="Muy Baja",'Mapa final'!$P$28="Catastrófico"),CONCATENATE("R",'Mapa final'!$A$28),"")</f>
        <v/>
      </c>
      <c r="AK40" s="244"/>
      <c r="AL40" s="244" t="str">
        <f ca="1">IF(AND('Mapa final'!$L$34="Muy Baja",'Mapa final'!$P$34="Catastrófico"),CONCATENATE("R",'Mapa final'!$A$34),"")</f>
        <v/>
      </c>
      <c r="AM40" s="245"/>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x14ac:dyDescent="0.25">
      <c r="A41" s="70"/>
      <c r="B41" s="183"/>
      <c r="C41" s="183"/>
      <c r="D41" s="184"/>
      <c r="E41" s="224"/>
      <c r="F41" s="225"/>
      <c r="G41" s="225"/>
      <c r="H41" s="225"/>
      <c r="I41" s="226"/>
      <c r="J41" s="263"/>
      <c r="K41" s="261"/>
      <c r="L41" s="261"/>
      <c r="M41" s="261"/>
      <c r="N41" s="261"/>
      <c r="O41" s="262"/>
      <c r="P41" s="263"/>
      <c r="Q41" s="261"/>
      <c r="R41" s="261"/>
      <c r="S41" s="261"/>
      <c r="T41" s="261"/>
      <c r="U41" s="262"/>
      <c r="V41" s="252"/>
      <c r="W41" s="253"/>
      <c r="X41" s="253"/>
      <c r="Y41" s="253"/>
      <c r="Z41" s="253"/>
      <c r="AA41" s="254"/>
      <c r="AB41" s="235"/>
      <c r="AC41" s="232"/>
      <c r="AD41" s="230"/>
      <c r="AE41" s="230"/>
      <c r="AF41" s="230"/>
      <c r="AG41" s="231"/>
      <c r="AH41" s="243"/>
      <c r="AI41" s="244"/>
      <c r="AJ41" s="244"/>
      <c r="AK41" s="244"/>
      <c r="AL41" s="244"/>
      <c r="AM41" s="245"/>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x14ac:dyDescent="0.25">
      <c r="A42" s="70"/>
      <c r="B42" s="183"/>
      <c r="C42" s="183"/>
      <c r="D42" s="184"/>
      <c r="E42" s="224"/>
      <c r="F42" s="225"/>
      <c r="G42" s="225"/>
      <c r="H42" s="225"/>
      <c r="I42" s="226"/>
      <c r="J42" s="263" t="str">
        <f ca="1">IF(AND('Mapa final'!$L$40="Muy Baja",'Mapa final'!$P$40="Leve"),CONCATENATE("R",'Mapa final'!$A$40),"")</f>
        <v/>
      </c>
      <c r="K42" s="261"/>
      <c r="L42" s="261" t="str">
        <f ca="1">IF(AND('Mapa final'!$L$46="Muy Baja",'Mapa final'!$P$46="Leve"),CONCATENATE("R",'Mapa final'!$A$46),"")</f>
        <v/>
      </c>
      <c r="M42" s="261"/>
      <c r="N42" s="261" t="str">
        <f ca="1">IF(AND('Mapa final'!$L$52="Muy Baja",'Mapa final'!$P$52="Leve"),CONCATENATE("R",'Mapa final'!$A$52),"")</f>
        <v/>
      </c>
      <c r="O42" s="262"/>
      <c r="P42" s="263" t="str">
        <f ca="1">IF(AND('Mapa final'!$L$40="Muy Baja",'Mapa final'!$P$40="Menor"),CONCATENATE("R",'Mapa final'!$A$40),"")</f>
        <v>R7</v>
      </c>
      <c r="Q42" s="261"/>
      <c r="R42" s="261" t="str">
        <f ca="1">IF(AND('Mapa final'!$L$46="Muy Baja",'Mapa final'!$P$46="Menor"),CONCATENATE("R",'Mapa final'!$A$46),"")</f>
        <v/>
      </c>
      <c r="S42" s="261"/>
      <c r="T42" s="261" t="str">
        <f ca="1">IF(AND('Mapa final'!$L$52="Muy Baja",'Mapa final'!$P$52="Menor"),CONCATENATE("R",'Mapa final'!$A$52),"")</f>
        <v/>
      </c>
      <c r="U42" s="262"/>
      <c r="V42" s="252" t="str">
        <f ca="1">IF(AND('Mapa final'!$L$40="Muy Baja",'Mapa final'!$P$40="Moderado"),CONCATENATE("R",'Mapa final'!$A$40),"")</f>
        <v/>
      </c>
      <c r="W42" s="253"/>
      <c r="X42" s="253" t="str">
        <f ca="1">IF(AND('Mapa final'!$L$46="Muy Baja",'Mapa final'!$P$46="Moderado"),CONCATENATE("R",'Mapa final'!$A$46),"")</f>
        <v/>
      </c>
      <c r="Y42" s="253"/>
      <c r="Z42" s="253" t="str">
        <f ca="1">IF(AND('Mapa final'!$L$52="Muy Baja",'Mapa final'!$P$52="Moderado"),CONCATENATE("R",'Mapa final'!$A$52),"")</f>
        <v>R9</v>
      </c>
      <c r="AA42" s="254"/>
      <c r="AB42" s="235" t="str">
        <f ca="1">IF(AND('Mapa final'!$L$40="Muy Baja",'Mapa final'!$P$40="Mayor"),CONCATENATE("R",'Mapa final'!$A$40),"")</f>
        <v/>
      </c>
      <c r="AC42" s="232"/>
      <c r="AD42" s="230" t="str">
        <f ca="1">IF(AND('Mapa final'!$L$46="Muy Baja",'Mapa final'!$P$46="Mayor"),CONCATENATE("R",'Mapa final'!$A$46),"")</f>
        <v/>
      </c>
      <c r="AE42" s="230"/>
      <c r="AF42" s="230" t="str">
        <f ca="1">IF(AND('Mapa final'!$L$52="Muy Baja",'Mapa final'!$P$52="Mayor"),CONCATENATE("R",'Mapa final'!$A$52),"")</f>
        <v/>
      </c>
      <c r="AG42" s="231"/>
      <c r="AH42" s="243" t="str">
        <f ca="1">IF(AND('Mapa final'!$L$40="Muy Baja",'Mapa final'!$P$40="Catastrófico"),CONCATENATE("R",'Mapa final'!$A$40),"")</f>
        <v/>
      </c>
      <c r="AI42" s="244"/>
      <c r="AJ42" s="244" t="str">
        <f ca="1">IF(AND('Mapa final'!$L$46="Muy Baja",'Mapa final'!$P$46="Catastrófico"),CONCATENATE("R",'Mapa final'!$A$46),"")</f>
        <v/>
      </c>
      <c r="AK42" s="244"/>
      <c r="AL42" s="244" t="str">
        <f ca="1">IF(AND('Mapa final'!$L$52="Muy Baja",'Mapa final'!$P$52="Catastrófico"),CONCATENATE("R",'Mapa final'!$A$52),"")</f>
        <v/>
      </c>
      <c r="AM42" s="245"/>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x14ac:dyDescent="0.25">
      <c r="A43" s="70"/>
      <c r="B43" s="183"/>
      <c r="C43" s="183"/>
      <c r="D43" s="184"/>
      <c r="E43" s="224"/>
      <c r="F43" s="225"/>
      <c r="G43" s="225"/>
      <c r="H43" s="225"/>
      <c r="I43" s="226"/>
      <c r="J43" s="263"/>
      <c r="K43" s="261"/>
      <c r="L43" s="261"/>
      <c r="M43" s="261"/>
      <c r="N43" s="261"/>
      <c r="O43" s="262"/>
      <c r="P43" s="263"/>
      <c r="Q43" s="261"/>
      <c r="R43" s="261"/>
      <c r="S43" s="261"/>
      <c r="T43" s="261"/>
      <c r="U43" s="262"/>
      <c r="V43" s="252"/>
      <c r="W43" s="253"/>
      <c r="X43" s="253"/>
      <c r="Y43" s="253"/>
      <c r="Z43" s="253"/>
      <c r="AA43" s="254"/>
      <c r="AB43" s="235"/>
      <c r="AC43" s="232"/>
      <c r="AD43" s="230"/>
      <c r="AE43" s="230"/>
      <c r="AF43" s="230"/>
      <c r="AG43" s="231"/>
      <c r="AH43" s="243"/>
      <c r="AI43" s="244"/>
      <c r="AJ43" s="244"/>
      <c r="AK43" s="244"/>
      <c r="AL43" s="244"/>
      <c r="AM43" s="245"/>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x14ac:dyDescent="0.25">
      <c r="A44" s="70"/>
      <c r="B44" s="183"/>
      <c r="C44" s="183"/>
      <c r="D44" s="184"/>
      <c r="E44" s="224"/>
      <c r="F44" s="225"/>
      <c r="G44" s="225"/>
      <c r="H44" s="225"/>
      <c r="I44" s="226"/>
      <c r="J44" s="263" t="e">
        <f>IF(AND('Mapa final'!#REF!="Muy Baja",'Mapa final'!#REF!="Leve"),CONCATENATE("R",'Mapa final'!#REF!),"")</f>
        <v>#REF!</v>
      </c>
      <c r="K44" s="261"/>
      <c r="L44" s="261" t="e">
        <f>IF(AND('Mapa final'!#REF!="Muy Baja",'Mapa final'!#REF!="Leve"),CONCATENATE("R",'Mapa final'!#REF!),"")</f>
        <v>#REF!</v>
      </c>
      <c r="M44" s="261"/>
      <c r="N44" s="261" t="str">
        <f>IF(AND('Mapa final'!$L$60="Muy Baja",'Mapa final'!$P$60="Leve"),CONCATENATE("R",'Mapa final'!$A$60),"")</f>
        <v/>
      </c>
      <c r="O44" s="262"/>
      <c r="P44" s="263" t="e">
        <f>IF(AND('Mapa final'!#REF!="Muy Baja",'Mapa final'!#REF!="Menor"),CONCATENATE("R",'Mapa final'!#REF!),"")</f>
        <v>#REF!</v>
      </c>
      <c r="Q44" s="261"/>
      <c r="R44" s="261" t="e">
        <f>IF(AND('Mapa final'!#REF!="Muy Baja",'Mapa final'!#REF!="Menor"),CONCATENATE("R",'Mapa final'!#REF!),"")</f>
        <v>#REF!</v>
      </c>
      <c r="S44" s="261"/>
      <c r="T44" s="261" t="str">
        <f>IF(AND('Mapa final'!$L$60="Muy Baja",'Mapa final'!$P$60="Menor"),CONCATENATE("R",'Mapa final'!$A$60),"")</f>
        <v/>
      </c>
      <c r="U44" s="262"/>
      <c r="V44" s="252" t="e">
        <f>IF(AND('Mapa final'!#REF!="Muy Baja",'Mapa final'!#REF!="Moderado"),CONCATENATE("R",'Mapa final'!#REF!),"")</f>
        <v>#REF!</v>
      </c>
      <c r="W44" s="253"/>
      <c r="X44" s="253" t="e">
        <f>IF(AND('Mapa final'!#REF!="Muy Baja",'Mapa final'!#REF!="Moderado"),CONCATENATE("R",'Mapa final'!#REF!),"")</f>
        <v>#REF!</v>
      </c>
      <c r="Y44" s="253"/>
      <c r="Z44" s="253" t="str">
        <f>IF(AND('Mapa final'!$L$60="Muy Baja",'Mapa final'!$P$60="Moderado"),CONCATENATE("R",'Mapa final'!$A$60),"")</f>
        <v/>
      </c>
      <c r="AA44" s="254"/>
      <c r="AB44" s="235" t="e">
        <f>IF(AND('Mapa final'!#REF!="Muy Baja",'Mapa final'!#REF!="Mayor"),CONCATENATE("R",'Mapa final'!#REF!),"")</f>
        <v>#REF!</v>
      </c>
      <c r="AC44" s="232"/>
      <c r="AD44" s="230" t="e">
        <f>IF(AND('Mapa final'!#REF!="Muy Baja",'Mapa final'!#REF!="Mayor"),CONCATENATE("R",'Mapa final'!#REF!),"")</f>
        <v>#REF!</v>
      </c>
      <c r="AE44" s="230"/>
      <c r="AF44" s="230" t="str">
        <f>IF(AND('Mapa final'!$L$60="Muy Baja",'Mapa final'!$P$60="Mayor"),CONCATENATE("R",'Mapa final'!$A$60),"")</f>
        <v/>
      </c>
      <c r="AG44" s="231"/>
      <c r="AH44" s="243" t="e">
        <f>IF(AND('Mapa final'!#REF!="Muy Baja",'Mapa final'!#REF!="Catastrófico"),CONCATENATE("R",'Mapa final'!#REF!),"")</f>
        <v>#REF!</v>
      </c>
      <c r="AI44" s="244"/>
      <c r="AJ44" s="244" t="e">
        <f>IF(AND('Mapa final'!#REF!="Muy Baja",'Mapa final'!#REF!="Catastrófico"),CONCATENATE("R",'Mapa final'!#REF!),"")</f>
        <v>#REF!</v>
      </c>
      <c r="AK44" s="244"/>
      <c r="AL44" s="244" t="str">
        <f>IF(AND('Mapa final'!$L$60="Muy Baja",'Mapa final'!$P$60="Catastrófico"),CONCATENATE("R",'Mapa final'!$A$60),"")</f>
        <v/>
      </c>
      <c r="AM44" s="245"/>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thickBot="1" x14ac:dyDescent="0.3">
      <c r="A45" s="70"/>
      <c r="B45" s="183"/>
      <c r="C45" s="183"/>
      <c r="D45" s="184"/>
      <c r="E45" s="227"/>
      <c r="F45" s="228"/>
      <c r="G45" s="228"/>
      <c r="H45" s="228"/>
      <c r="I45" s="229"/>
      <c r="J45" s="264"/>
      <c r="K45" s="265"/>
      <c r="L45" s="265"/>
      <c r="M45" s="265"/>
      <c r="N45" s="265"/>
      <c r="O45" s="266"/>
      <c r="P45" s="264"/>
      <c r="Q45" s="265"/>
      <c r="R45" s="265"/>
      <c r="S45" s="265"/>
      <c r="T45" s="265"/>
      <c r="U45" s="266"/>
      <c r="V45" s="255"/>
      <c r="W45" s="256"/>
      <c r="X45" s="256"/>
      <c r="Y45" s="256"/>
      <c r="Z45" s="256"/>
      <c r="AA45" s="257"/>
      <c r="AB45" s="240"/>
      <c r="AC45" s="241"/>
      <c r="AD45" s="241"/>
      <c r="AE45" s="241"/>
      <c r="AF45" s="241"/>
      <c r="AG45" s="242"/>
      <c r="AH45" s="246"/>
      <c r="AI45" s="247"/>
      <c r="AJ45" s="247"/>
      <c r="AK45" s="247"/>
      <c r="AL45" s="247"/>
      <c r="AM45" s="248"/>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221" t="s">
        <v>110</v>
      </c>
      <c r="K46" s="222"/>
      <c r="L46" s="222"/>
      <c r="M46" s="222"/>
      <c r="N46" s="222"/>
      <c r="O46" s="223"/>
      <c r="P46" s="221" t="s">
        <v>109</v>
      </c>
      <c r="Q46" s="222"/>
      <c r="R46" s="222"/>
      <c r="S46" s="222"/>
      <c r="T46" s="222"/>
      <c r="U46" s="223"/>
      <c r="V46" s="221" t="s">
        <v>108</v>
      </c>
      <c r="W46" s="222"/>
      <c r="X46" s="222"/>
      <c r="Y46" s="222"/>
      <c r="Z46" s="222"/>
      <c r="AA46" s="223"/>
      <c r="AB46" s="221" t="s">
        <v>107</v>
      </c>
      <c r="AC46" s="239"/>
      <c r="AD46" s="222"/>
      <c r="AE46" s="222"/>
      <c r="AF46" s="222"/>
      <c r="AG46" s="223"/>
      <c r="AH46" s="221" t="s">
        <v>106</v>
      </c>
      <c r="AI46" s="222"/>
      <c r="AJ46" s="222"/>
      <c r="AK46" s="222"/>
      <c r="AL46" s="222"/>
      <c r="AM46" s="223"/>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224"/>
      <c r="K47" s="225"/>
      <c r="L47" s="225"/>
      <c r="M47" s="225"/>
      <c r="N47" s="225"/>
      <c r="O47" s="226"/>
      <c r="P47" s="224"/>
      <c r="Q47" s="225"/>
      <c r="R47" s="225"/>
      <c r="S47" s="225"/>
      <c r="T47" s="225"/>
      <c r="U47" s="226"/>
      <c r="V47" s="224"/>
      <c r="W47" s="225"/>
      <c r="X47" s="225"/>
      <c r="Y47" s="225"/>
      <c r="Z47" s="225"/>
      <c r="AA47" s="226"/>
      <c r="AB47" s="224"/>
      <c r="AC47" s="225"/>
      <c r="AD47" s="225"/>
      <c r="AE47" s="225"/>
      <c r="AF47" s="225"/>
      <c r="AG47" s="226"/>
      <c r="AH47" s="224"/>
      <c r="AI47" s="225"/>
      <c r="AJ47" s="225"/>
      <c r="AK47" s="225"/>
      <c r="AL47" s="225"/>
      <c r="AM47" s="226"/>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224"/>
      <c r="K48" s="225"/>
      <c r="L48" s="225"/>
      <c r="M48" s="225"/>
      <c r="N48" s="225"/>
      <c r="O48" s="226"/>
      <c r="P48" s="224"/>
      <c r="Q48" s="225"/>
      <c r="R48" s="225"/>
      <c r="S48" s="225"/>
      <c r="T48" s="225"/>
      <c r="U48" s="226"/>
      <c r="V48" s="224"/>
      <c r="W48" s="225"/>
      <c r="X48" s="225"/>
      <c r="Y48" s="225"/>
      <c r="Z48" s="225"/>
      <c r="AA48" s="226"/>
      <c r="AB48" s="224"/>
      <c r="AC48" s="225"/>
      <c r="AD48" s="225"/>
      <c r="AE48" s="225"/>
      <c r="AF48" s="225"/>
      <c r="AG48" s="226"/>
      <c r="AH48" s="224"/>
      <c r="AI48" s="225"/>
      <c r="AJ48" s="225"/>
      <c r="AK48" s="225"/>
      <c r="AL48" s="225"/>
      <c r="AM48" s="226"/>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224"/>
      <c r="K49" s="225"/>
      <c r="L49" s="225"/>
      <c r="M49" s="225"/>
      <c r="N49" s="225"/>
      <c r="O49" s="226"/>
      <c r="P49" s="224"/>
      <c r="Q49" s="225"/>
      <c r="R49" s="225"/>
      <c r="S49" s="225"/>
      <c r="T49" s="225"/>
      <c r="U49" s="226"/>
      <c r="V49" s="224"/>
      <c r="W49" s="225"/>
      <c r="X49" s="225"/>
      <c r="Y49" s="225"/>
      <c r="Z49" s="225"/>
      <c r="AA49" s="226"/>
      <c r="AB49" s="224"/>
      <c r="AC49" s="225"/>
      <c r="AD49" s="225"/>
      <c r="AE49" s="225"/>
      <c r="AF49" s="225"/>
      <c r="AG49" s="226"/>
      <c r="AH49" s="224"/>
      <c r="AI49" s="225"/>
      <c r="AJ49" s="225"/>
      <c r="AK49" s="225"/>
      <c r="AL49" s="225"/>
      <c r="AM49" s="226"/>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224"/>
      <c r="K50" s="225"/>
      <c r="L50" s="225"/>
      <c r="M50" s="225"/>
      <c r="N50" s="225"/>
      <c r="O50" s="226"/>
      <c r="P50" s="224"/>
      <c r="Q50" s="225"/>
      <c r="R50" s="225"/>
      <c r="S50" s="225"/>
      <c r="T50" s="225"/>
      <c r="U50" s="226"/>
      <c r="V50" s="224"/>
      <c r="W50" s="225"/>
      <c r="X50" s="225"/>
      <c r="Y50" s="225"/>
      <c r="Z50" s="225"/>
      <c r="AA50" s="226"/>
      <c r="AB50" s="224"/>
      <c r="AC50" s="225"/>
      <c r="AD50" s="225"/>
      <c r="AE50" s="225"/>
      <c r="AF50" s="225"/>
      <c r="AG50" s="226"/>
      <c r="AH50" s="224"/>
      <c r="AI50" s="225"/>
      <c r="AJ50" s="225"/>
      <c r="AK50" s="225"/>
      <c r="AL50" s="225"/>
      <c r="AM50" s="226"/>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227"/>
      <c r="K51" s="228"/>
      <c r="L51" s="228"/>
      <c r="M51" s="228"/>
      <c r="N51" s="228"/>
      <c r="O51" s="229"/>
      <c r="P51" s="227"/>
      <c r="Q51" s="228"/>
      <c r="R51" s="228"/>
      <c r="S51" s="228"/>
      <c r="T51" s="228"/>
      <c r="U51" s="229"/>
      <c r="V51" s="227"/>
      <c r="W51" s="228"/>
      <c r="X51" s="228"/>
      <c r="Y51" s="228"/>
      <c r="Z51" s="228"/>
      <c r="AA51" s="229"/>
      <c r="AB51" s="227"/>
      <c r="AC51" s="228"/>
      <c r="AD51" s="228"/>
      <c r="AE51" s="228"/>
      <c r="AF51" s="228"/>
      <c r="AG51" s="229"/>
      <c r="AH51" s="227"/>
      <c r="AI51" s="228"/>
      <c r="AJ51" s="228"/>
      <c r="AK51" s="228"/>
      <c r="AL51" s="228"/>
      <c r="AM51" s="229"/>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CM248"/>
  <sheetViews>
    <sheetView zoomScale="50" zoomScaleNormal="50" workbookViewId="0">
      <selection activeCell="W46" sqref="W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297" t="s">
        <v>154</v>
      </c>
      <c r="C2" s="298"/>
      <c r="D2" s="298"/>
      <c r="E2" s="298"/>
      <c r="F2" s="298"/>
      <c r="G2" s="298"/>
      <c r="H2" s="298"/>
      <c r="I2" s="298"/>
      <c r="J2" s="237" t="s">
        <v>2</v>
      </c>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298"/>
      <c r="C3" s="298"/>
      <c r="D3" s="298"/>
      <c r="E3" s="298"/>
      <c r="F3" s="298"/>
      <c r="G3" s="298"/>
      <c r="H3" s="298"/>
      <c r="I3" s="298"/>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298"/>
      <c r="C4" s="298"/>
      <c r="D4" s="298"/>
      <c r="E4" s="298"/>
      <c r="F4" s="298"/>
      <c r="G4" s="298"/>
      <c r="H4" s="298"/>
      <c r="I4" s="298"/>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183" t="s">
        <v>4</v>
      </c>
      <c r="C6" s="183"/>
      <c r="D6" s="184"/>
      <c r="E6" s="280" t="s">
        <v>114</v>
      </c>
      <c r="F6" s="281"/>
      <c r="G6" s="281"/>
      <c r="H6" s="281"/>
      <c r="I6" s="299"/>
      <c r="J6" s="32" t="str">
        <f ca="1">IF(AND('Mapa final'!$AG$4="Muy Alta",'Mapa final'!$AI$4="Leve"),CONCATENATE("R1C",'Mapa final'!$S$4),"")</f>
        <v/>
      </c>
      <c r="K6" s="33" t="str">
        <f>IF(AND('Mapa final'!$AG$5="Muy Alta",'Mapa final'!$AI$5="Leve"),CONCATENATE("R1C",'Mapa final'!$S$5),"")</f>
        <v/>
      </c>
      <c r="L6" s="33" t="str">
        <f>IF(AND('Mapa final'!$AG$6="Muy Alta",'Mapa final'!$AI$6="Leve"),CONCATENATE("R1C",'Mapa final'!$S$6),"")</f>
        <v/>
      </c>
      <c r="M6" s="33" t="str">
        <f>IF(AND('Mapa final'!$AG$7="Muy Alta",'Mapa final'!$AI$7="Leve"),CONCATENATE("R1C",'Mapa final'!$S$7),"")</f>
        <v/>
      </c>
      <c r="N6" s="33" t="str">
        <f>IF(AND('Mapa final'!$AG$8="Muy Alta",'Mapa final'!$AI$8="Leve"),CONCATENATE("R1C",'Mapa final'!$S$8),"")</f>
        <v/>
      </c>
      <c r="O6" s="34" t="str">
        <f>IF(AND('Mapa final'!$AG$9="Muy Alta",'Mapa final'!$AI$9="Leve"),CONCATENATE("R1C",'Mapa final'!$S$9),"")</f>
        <v/>
      </c>
      <c r="P6" s="32" t="str">
        <f ca="1">IF(AND('Mapa final'!$AG$4="Muy Alta",'Mapa final'!$AI$4="Menor"),CONCATENATE("R1C",'Mapa final'!$S$4),"")</f>
        <v/>
      </c>
      <c r="Q6" s="33" t="str">
        <f>IF(AND('Mapa final'!$AG$5="Muy Alta",'Mapa final'!$AI$5="Menor"),CONCATENATE("R1C",'Mapa final'!$S$5),"")</f>
        <v/>
      </c>
      <c r="R6" s="33" t="str">
        <f>IF(AND('Mapa final'!$AG$6="Muy Alta",'Mapa final'!$AI$6="Menor"),CONCATENATE("R1C",'Mapa final'!$S$6),"")</f>
        <v/>
      </c>
      <c r="S6" s="33" t="str">
        <f>IF(AND('Mapa final'!$AG$7="Muy Alta",'Mapa final'!$AI$7="Menor"),CONCATENATE("R1C",'Mapa final'!$S$7),"")</f>
        <v/>
      </c>
      <c r="T6" s="33" t="str">
        <f>IF(AND('Mapa final'!$AG$8="Muy Alta",'Mapa final'!$AI$8="Menor"),CONCATENATE("R1C",'Mapa final'!$S$8),"")</f>
        <v/>
      </c>
      <c r="U6" s="34" t="str">
        <f>IF(AND('Mapa final'!$AG$9="Muy Alta",'Mapa final'!$AI$9="Menor"),CONCATENATE("R1C",'Mapa final'!$S$9),"")</f>
        <v/>
      </c>
      <c r="V6" s="32" t="str">
        <f ca="1">IF(AND('Mapa final'!$AG$4="Muy Alta",'Mapa final'!$AI$4="Moderado"),CONCATENATE("R1C",'Mapa final'!$S$4),"")</f>
        <v/>
      </c>
      <c r="W6" s="33" t="str">
        <f>IF(AND('Mapa final'!$AG$5="Muy Alta",'Mapa final'!$AI$5="Moderado"),CONCATENATE("R1C",'Mapa final'!$S$5),"")</f>
        <v/>
      </c>
      <c r="X6" s="33" t="str">
        <f>IF(AND('Mapa final'!$AG$6="Muy Alta",'Mapa final'!$AI$6="Moderado"),CONCATENATE("R1C",'Mapa final'!$S$6),"")</f>
        <v/>
      </c>
      <c r="Y6" s="33" t="str">
        <f>IF(AND('Mapa final'!$AG$7="Muy Alta",'Mapa final'!$AI$7="Moderado"),CONCATENATE("R1C",'Mapa final'!$S$7),"")</f>
        <v/>
      </c>
      <c r="Z6" s="33" t="str">
        <f>IF(AND('Mapa final'!$AG$8="Muy Alta",'Mapa final'!$AI$8="Moderado"),CONCATENATE("R1C",'Mapa final'!$S$8),"")</f>
        <v/>
      </c>
      <c r="AA6" s="34" t="str">
        <f>IF(AND('Mapa final'!$AG$9="Muy Alta",'Mapa final'!$AI$9="Moderado"),CONCATENATE("R1C",'Mapa final'!$S$9),"")</f>
        <v/>
      </c>
      <c r="AB6" s="32" t="str">
        <f ca="1">IF(AND('Mapa final'!$AG$4="Muy Alta",'Mapa final'!$AI$4="Mayor"),CONCATENATE("R1C",'Mapa final'!$S$4),"")</f>
        <v/>
      </c>
      <c r="AC6" s="33" t="str">
        <f>IF(AND('Mapa final'!$AG$5="Muy Alta",'Mapa final'!$AI$5="Mayor"),CONCATENATE("R1C",'Mapa final'!$S$5),"")</f>
        <v/>
      </c>
      <c r="AD6" s="33" t="str">
        <f>IF(AND('Mapa final'!$AG$6="Muy Alta",'Mapa final'!$AI$6="Mayor"),CONCATENATE("R1C",'Mapa final'!$S$6),"")</f>
        <v/>
      </c>
      <c r="AE6" s="33" t="str">
        <f>IF(AND('Mapa final'!$AG$7="Muy Alta",'Mapa final'!$AI$7="Mayor"),CONCATENATE("R1C",'Mapa final'!$S$7),"")</f>
        <v/>
      </c>
      <c r="AF6" s="33" t="str">
        <f>IF(AND('Mapa final'!$AG$8="Muy Alta",'Mapa final'!$AI$8="Mayor"),CONCATENATE("R1C",'Mapa final'!$S$8),"")</f>
        <v/>
      </c>
      <c r="AG6" s="34" t="str">
        <f>IF(AND('Mapa final'!$AG$9="Muy Alta",'Mapa final'!$AI$9="Mayor"),CONCATENATE("R1C",'Mapa final'!$S$9),"")</f>
        <v/>
      </c>
      <c r="AH6" s="35" t="str">
        <f ca="1">IF(AND('Mapa final'!$AG$4="Muy Alta",'Mapa final'!$AI$4="Catastrófico"),CONCATENATE("R1C",'Mapa final'!$S$4),"")</f>
        <v/>
      </c>
      <c r="AI6" s="36" t="str">
        <f>IF(AND('Mapa final'!$AG$5="Muy Alta",'Mapa final'!$AI$5="Catastrófico"),CONCATENATE("R1C",'Mapa final'!$S$5),"")</f>
        <v/>
      </c>
      <c r="AJ6" s="36" t="str">
        <f>IF(AND('Mapa final'!$AG$6="Muy Alta",'Mapa final'!$AI$6="Catastrófico"),CONCATENATE("R1C",'Mapa final'!$S$6),"")</f>
        <v/>
      </c>
      <c r="AK6" s="36" t="str">
        <f>IF(AND('Mapa final'!$AG$7="Muy Alta",'Mapa final'!$AI$7="Catastrófico"),CONCATENATE("R1C",'Mapa final'!$S$7),"")</f>
        <v/>
      </c>
      <c r="AL6" s="36" t="str">
        <f>IF(AND('Mapa final'!$AG$8="Muy Alta",'Mapa final'!$AI$8="Catastrófico"),CONCATENATE("R1C",'Mapa final'!$S$8),"")</f>
        <v/>
      </c>
      <c r="AM6" s="37" t="str">
        <f>IF(AND('Mapa final'!$AG$9="Muy Alta",'Mapa final'!$AI$9="Catastrófico"),CONCATENATE("R1C",'Mapa final'!$S$9),"")</f>
        <v/>
      </c>
      <c r="AN6" s="70"/>
      <c r="AO6" s="288" t="s">
        <v>77</v>
      </c>
      <c r="AP6" s="289"/>
      <c r="AQ6" s="289"/>
      <c r="AR6" s="289"/>
      <c r="AS6" s="289"/>
      <c r="AT6" s="29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183"/>
      <c r="C7" s="183"/>
      <c r="D7" s="184"/>
      <c r="E7" s="284"/>
      <c r="F7" s="285"/>
      <c r="G7" s="285"/>
      <c r="H7" s="285"/>
      <c r="I7" s="300"/>
      <c r="J7" s="38" t="str">
        <f ca="1">IF(AND('Mapa final'!$AG$10="Muy Alta",'Mapa final'!$AI$10="Leve"),CONCATENATE("R2C",'Mapa final'!$S$10),"")</f>
        <v/>
      </c>
      <c r="K7" s="39" t="str">
        <f ca="1">IF(AND('Mapa final'!$AG$11="Muy Alta",'Mapa final'!$AI$11="Leve"),CONCATENATE("R2C",'Mapa final'!$S$11),"")</f>
        <v/>
      </c>
      <c r="L7" s="39" t="str">
        <f>IF(AND('Mapa final'!$AG$12="Muy Alta",'Mapa final'!$AI$12="Leve"),CONCATENATE("R2C",'Mapa final'!$S$12),"")</f>
        <v/>
      </c>
      <c r="M7" s="39" t="str">
        <f>IF(AND('Mapa final'!$AG$13="Muy Alta",'Mapa final'!$AI$13="Leve"),CONCATENATE("R2C",'Mapa final'!$S$13),"")</f>
        <v/>
      </c>
      <c r="N7" s="39" t="str">
        <f>IF(AND('Mapa final'!$AG$14="Muy Alta",'Mapa final'!$AI$14="Leve"),CONCATENATE("R2C",'Mapa final'!$S$14),"")</f>
        <v/>
      </c>
      <c r="O7" s="40" t="str">
        <f>IF(AND('Mapa final'!$AG$15="Muy Alta",'Mapa final'!$AI$15="Leve"),CONCATENATE("R2C",'Mapa final'!$S$15),"")</f>
        <v/>
      </c>
      <c r="P7" s="38" t="str">
        <f ca="1">IF(AND('Mapa final'!$AG$10="Muy Alta",'Mapa final'!$AI$10="Menor"),CONCATENATE("R2C",'Mapa final'!$S$10),"")</f>
        <v/>
      </c>
      <c r="Q7" s="39" t="str">
        <f ca="1">IF(AND('Mapa final'!$AG$11="Muy Alta",'Mapa final'!$AI$11="Menor"),CONCATENATE("R2C",'Mapa final'!$S$11),"")</f>
        <v/>
      </c>
      <c r="R7" s="39" t="str">
        <f>IF(AND('Mapa final'!$AG$12="Muy Alta",'Mapa final'!$AI$12="Menor"),CONCATENATE("R2C",'Mapa final'!$S$12),"")</f>
        <v/>
      </c>
      <c r="S7" s="39" t="str">
        <f>IF(AND('Mapa final'!$AG$13="Muy Alta",'Mapa final'!$AI$13="Menor"),CONCATENATE("R2C",'Mapa final'!$S$13),"")</f>
        <v/>
      </c>
      <c r="T7" s="39" t="str">
        <f>IF(AND('Mapa final'!$AG$14="Muy Alta",'Mapa final'!$AI$14="Menor"),CONCATENATE("R2C",'Mapa final'!$S$14),"")</f>
        <v/>
      </c>
      <c r="U7" s="40" t="str">
        <f>IF(AND('Mapa final'!$AG$15="Muy Alta",'Mapa final'!$AI$15="Menor"),CONCATENATE("R2C",'Mapa final'!$S$15),"")</f>
        <v/>
      </c>
      <c r="V7" s="38" t="str">
        <f ca="1">IF(AND('Mapa final'!$AG$10="Muy Alta",'Mapa final'!$AI$10="Moderado"),CONCATENATE("R2C",'Mapa final'!$S$10),"")</f>
        <v/>
      </c>
      <c r="W7" s="39" t="str">
        <f ca="1">IF(AND('Mapa final'!$AG$11="Muy Alta",'Mapa final'!$AI$11="Moderado"),CONCATENATE("R2C",'Mapa final'!$S$11),"")</f>
        <v/>
      </c>
      <c r="X7" s="39" t="str">
        <f>IF(AND('Mapa final'!$AG$12="Muy Alta",'Mapa final'!$AI$12="Moderado"),CONCATENATE("R2C",'Mapa final'!$S$12),"")</f>
        <v/>
      </c>
      <c r="Y7" s="39" t="str">
        <f>IF(AND('Mapa final'!$AG$13="Muy Alta",'Mapa final'!$AI$13="Moderado"),CONCATENATE("R2C",'Mapa final'!$S$13),"")</f>
        <v/>
      </c>
      <c r="Z7" s="39" t="str">
        <f>IF(AND('Mapa final'!$AG$14="Muy Alta",'Mapa final'!$AI$14="Moderado"),CONCATENATE("R2C",'Mapa final'!$S$14),"")</f>
        <v/>
      </c>
      <c r="AA7" s="40" t="str">
        <f>IF(AND('Mapa final'!$AG$15="Muy Alta",'Mapa final'!$AI$15="Moderado"),CONCATENATE("R2C",'Mapa final'!$S$15),"")</f>
        <v/>
      </c>
      <c r="AB7" s="38" t="str">
        <f ca="1">IF(AND('Mapa final'!$AG$10="Muy Alta",'Mapa final'!$AI$10="Mayor"),CONCATENATE("R2C",'Mapa final'!$S$10),"")</f>
        <v/>
      </c>
      <c r="AC7" s="39" t="str">
        <f ca="1">IF(AND('Mapa final'!$AG$11="Muy Alta",'Mapa final'!$AI$11="Mayor"),CONCATENATE("R2C",'Mapa final'!$S$11),"")</f>
        <v/>
      </c>
      <c r="AD7" s="39" t="str">
        <f>IF(AND('Mapa final'!$AG$12="Muy Alta",'Mapa final'!$AI$12="Mayor"),CONCATENATE("R2C",'Mapa final'!$S$12),"")</f>
        <v/>
      </c>
      <c r="AE7" s="39" t="str">
        <f>IF(AND('Mapa final'!$AG$13="Muy Alta",'Mapa final'!$AI$13="Mayor"),CONCATENATE("R2C",'Mapa final'!$S$13),"")</f>
        <v/>
      </c>
      <c r="AF7" s="39" t="str">
        <f>IF(AND('Mapa final'!$AG$14="Muy Alta",'Mapa final'!$AI$14="Mayor"),CONCATENATE("R2C",'Mapa final'!$S$14),"")</f>
        <v/>
      </c>
      <c r="AG7" s="40" t="str">
        <f>IF(AND('Mapa final'!$AG$15="Muy Alta",'Mapa final'!$AI$15="Mayor"),CONCATENATE("R2C",'Mapa final'!$S$15),"")</f>
        <v/>
      </c>
      <c r="AH7" s="41" t="str">
        <f ca="1">IF(AND('Mapa final'!$AG$10="Muy Alta",'Mapa final'!$AI$10="Catastrófico"),CONCATENATE("R2C",'Mapa final'!$S$10),"")</f>
        <v/>
      </c>
      <c r="AI7" s="42" t="str">
        <f ca="1">IF(AND('Mapa final'!$AG$11="Muy Alta",'Mapa final'!$AI$11="Catastrófico"),CONCATENATE("R2C",'Mapa final'!$S$11),"")</f>
        <v/>
      </c>
      <c r="AJ7" s="42" t="str">
        <f>IF(AND('Mapa final'!$AG$12="Muy Alta",'Mapa final'!$AI$12="Catastrófico"),CONCATENATE("R2C",'Mapa final'!$S$12),"")</f>
        <v/>
      </c>
      <c r="AK7" s="42" t="str">
        <f>IF(AND('Mapa final'!$AG$13="Muy Alta",'Mapa final'!$AI$13="Catastrófico"),CONCATENATE("R2C",'Mapa final'!$S$13),"")</f>
        <v/>
      </c>
      <c r="AL7" s="42" t="str">
        <f>IF(AND('Mapa final'!$AG$14="Muy Alta",'Mapa final'!$AI$14="Catastrófico"),CONCATENATE("R2C",'Mapa final'!$S$14),"")</f>
        <v/>
      </c>
      <c r="AM7" s="43" t="str">
        <f>IF(AND('Mapa final'!$AG$15="Muy Alta",'Mapa final'!$AI$15="Catastrófico"),CONCATENATE("R2C",'Mapa final'!$S$15),"")</f>
        <v/>
      </c>
      <c r="AN7" s="70"/>
      <c r="AO7" s="291"/>
      <c r="AP7" s="292"/>
      <c r="AQ7" s="292"/>
      <c r="AR7" s="292"/>
      <c r="AS7" s="292"/>
      <c r="AT7" s="293"/>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183"/>
      <c r="C8" s="183"/>
      <c r="D8" s="184"/>
      <c r="E8" s="284"/>
      <c r="F8" s="285"/>
      <c r="G8" s="285"/>
      <c r="H8" s="285"/>
      <c r="I8" s="300"/>
      <c r="J8" s="38" t="str">
        <f ca="1">IF(AND('Mapa final'!$AG$16="Muy Alta",'Mapa final'!$AI$16="Leve"),CONCATENATE("R3C",'Mapa final'!$S$16),"")</f>
        <v/>
      </c>
      <c r="K8" s="39" t="str">
        <f ca="1">IF(AND('Mapa final'!$AG$17="Muy Alta",'Mapa final'!$AI$17="Leve"),CONCATENATE("R3C",'Mapa final'!$S$17),"")</f>
        <v/>
      </c>
      <c r="L8" s="39" t="str">
        <f>IF(AND('Mapa final'!$AG$18="Muy Alta",'Mapa final'!$AI$18="Leve"),CONCATENATE("R3C",'Mapa final'!$S$18),"")</f>
        <v/>
      </c>
      <c r="M8" s="39" t="str">
        <f>IF(AND('Mapa final'!$AG$19="Muy Alta",'Mapa final'!$AI$19="Leve"),CONCATENATE("R3C",'Mapa final'!$S$19),"")</f>
        <v/>
      </c>
      <c r="N8" s="39" t="str">
        <f>IF(AND('Mapa final'!$AG$20="Muy Alta",'Mapa final'!$AI$20="Leve"),CONCATENATE("R3C",'Mapa final'!$S$20),"")</f>
        <v/>
      </c>
      <c r="O8" s="40" t="str">
        <f>IF(AND('Mapa final'!$AG$21="Muy Alta",'Mapa final'!$AI$21="Leve"),CONCATENATE("R3C",'Mapa final'!$S$21),"")</f>
        <v/>
      </c>
      <c r="P8" s="38" t="str">
        <f ca="1">IF(AND('Mapa final'!$AG$16="Muy Alta",'Mapa final'!$AI$16="Menor"),CONCATENATE("R3C",'Mapa final'!$S$16),"")</f>
        <v/>
      </c>
      <c r="Q8" s="39" t="str">
        <f ca="1">IF(AND('Mapa final'!$AG$17="Muy Alta",'Mapa final'!$AI$17="Menor"),CONCATENATE("R3C",'Mapa final'!$S$17),"")</f>
        <v/>
      </c>
      <c r="R8" s="39" t="str">
        <f>IF(AND('Mapa final'!$AG$18="Muy Alta",'Mapa final'!$AI$18="Menor"),CONCATENATE("R3C",'Mapa final'!$S$18),"")</f>
        <v/>
      </c>
      <c r="S8" s="39" t="str">
        <f>IF(AND('Mapa final'!$AG$19="Muy Alta",'Mapa final'!$AI$19="Menor"),CONCATENATE("R3C",'Mapa final'!$S$19),"")</f>
        <v/>
      </c>
      <c r="T8" s="39" t="str">
        <f>IF(AND('Mapa final'!$AG$20="Muy Alta",'Mapa final'!$AI$20="Menor"),CONCATENATE("R3C",'Mapa final'!$S$20),"")</f>
        <v/>
      </c>
      <c r="U8" s="40" t="str">
        <f>IF(AND('Mapa final'!$AG$21="Muy Alta",'Mapa final'!$AI$21="Menor"),CONCATENATE("R3C",'Mapa final'!$S$21),"")</f>
        <v/>
      </c>
      <c r="V8" s="38" t="str">
        <f ca="1">IF(AND('Mapa final'!$AG$16="Muy Alta",'Mapa final'!$AI$16="Moderado"),CONCATENATE("R3C",'Mapa final'!$S$16),"")</f>
        <v/>
      </c>
      <c r="W8" s="39" t="str">
        <f ca="1">IF(AND('Mapa final'!$AG$17="Muy Alta",'Mapa final'!$AI$17="Moderado"),CONCATENATE("R3C",'Mapa final'!$S$17),"")</f>
        <v/>
      </c>
      <c r="X8" s="39" t="str">
        <f>IF(AND('Mapa final'!$AG$18="Muy Alta",'Mapa final'!$AI$18="Moderado"),CONCATENATE("R3C",'Mapa final'!$S$18),"")</f>
        <v/>
      </c>
      <c r="Y8" s="39" t="str">
        <f>IF(AND('Mapa final'!$AG$19="Muy Alta",'Mapa final'!$AI$19="Moderado"),CONCATENATE("R3C",'Mapa final'!$S$19),"")</f>
        <v/>
      </c>
      <c r="Z8" s="39" t="str">
        <f>IF(AND('Mapa final'!$AG$20="Muy Alta",'Mapa final'!$AI$20="Moderado"),CONCATENATE("R3C",'Mapa final'!$S$20),"")</f>
        <v/>
      </c>
      <c r="AA8" s="40" t="str">
        <f>IF(AND('Mapa final'!$AG$21="Muy Alta",'Mapa final'!$AI$21="Moderado"),CONCATENATE("R3C",'Mapa final'!$S$21),"")</f>
        <v/>
      </c>
      <c r="AB8" s="38" t="str">
        <f ca="1">IF(AND('Mapa final'!$AG$16="Muy Alta",'Mapa final'!$AI$16="Mayor"),CONCATENATE("R3C",'Mapa final'!$S$16),"")</f>
        <v/>
      </c>
      <c r="AC8" s="39" t="str">
        <f ca="1">IF(AND('Mapa final'!$AG$17="Muy Alta",'Mapa final'!$AI$17="Mayor"),CONCATENATE("R3C",'Mapa final'!$S$17),"")</f>
        <v/>
      </c>
      <c r="AD8" s="39" t="str">
        <f>IF(AND('Mapa final'!$AG$18="Muy Alta",'Mapa final'!$AI$18="Mayor"),CONCATENATE("R3C",'Mapa final'!$S$18),"")</f>
        <v/>
      </c>
      <c r="AE8" s="39" t="str">
        <f>IF(AND('Mapa final'!$AG$19="Muy Alta",'Mapa final'!$AI$19="Mayor"),CONCATENATE("R3C",'Mapa final'!$S$19),"")</f>
        <v/>
      </c>
      <c r="AF8" s="39" t="str">
        <f>IF(AND('Mapa final'!$AG$20="Muy Alta",'Mapa final'!$AI$20="Mayor"),CONCATENATE("R3C",'Mapa final'!$S$20),"")</f>
        <v/>
      </c>
      <c r="AG8" s="40" t="str">
        <f>IF(AND('Mapa final'!$AG$21="Muy Alta",'Mapa final'!$AI$21="Mayor"),CONCATENATE("R3C",'Mapa final'!$S$21),"")</f>
        <v/>
      </c>
      <c r="AH8" s="41" t="str">
        <f ca="1">IF(AND('Mapa final'!$AG$16="Muy Alta",'Mapa final'!$AI$16="Catastrófico"),CONCATENATE("R3C",'Mapa final'!$S$16),"")</f>
        <v/>
      </c>
      <c r="AI8" s="42" t="str">
        <f ca="1">IF(AND('Mapa final'!$AG$17="Muy Alta",'Mapa final'!$AI$17="Catastrófico"),CONCATENATE("R3C",'Mapa final'!$S$17),"")</f>
        <v/>
      </c>
      <c r="AJ8" s="42" t="str">
        <f>IF(AND('Mapa final'!$AG$18="Muy Alta",'Mapa final'!$AI$18="Catastrófico"),CONCATENATE("R3C",'Mapa final'!$S$18),"")</f>
        <v/>
      </c>
      <c r="AK8" s="42" t="str">
        <f>IF(AND('Mapa final'!$AG$19="Muy Alta",'Mapa final'!$AI$19="Catastrófico"),CONCATENATE("R3C",'Mapa final'!$S$19),"")</f>
        <v/>
      </c>
      <c r="AL8" s="42" t="str">
        <f>IF(AND('Mapa final'!$AG$20="Muy Alta",'Mapa final'!$AI$20="Catastrófico"),CONCATENATE("R3C",'Mapa final'!$S$20),"")</f>
        <v/>
      </c>
      <c r="AM8" s="43" t="str">
        <f>IF(AND('Mapa final'!$AG$21="Muy Alta",'Mapa final'!$AI$21="Catastrófico"),CONCATENATE("R3C",'Mapa final'!$S$21),"")</f>
        <v/>
      </c>
      <c r="AN8" s="70"/>
      <c r="AO8" s="291"/>
      <c r="AP8" s="292"/>
      <c r="AQ8" s="292"/>
      <c r="AR8" s="292"/>
      <c r="AS8" s="292"/>
      <c r="AT8" s="293"/>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183"/>
      <c r="C9" s="183"/>
      <c r="D9" s="184"/>
      <c r="E9" s="284"/>
      <c r="F9" s="285"/>
      <c r="G9" s="285"/>
      <c r="H9" s="285"/>
      <c r="I9" s="300"/>
      <c r="J9" s="38" t="str">
        <f ca="1">IF(AND('Mapa final'!$AG$22="Muy Alta",'Mapa final'!$AI$22="Leve"),CONCATENATE("R4C",'Mapa final'!$S$22),"")</f>
        <v/>
      </c>
      <c r="K9" s="39" t="str">
        <f ca="1">IF(AND('Mapa final'!$AG$23="Muy Alta",'Mapa final'!$AI$23="Leve"),CONCATENATE("R4C",'Mapa final'!$S$23),"")</f>
        <v/>
      </c>
      <c r="L9" s="44" t="str">
        <f ca="1">IF(AND('Mapa final'!$AG$24="Muy Alta",'Mapa final'!$AI$24="Leve"),CONCATENATE("R4C",'Mapa final'!$S$24),"")</f>
        <v/>
      </c>
      <c r="M9" s="44" t="str">
        <f>IF(AND('Mapa final'!$AG$25="Muy Alta",'Mapa final'!$AI$25="Leve"),CONCATENATE("R4C",'Mapa final'!$S$25),"")</f>
        <v/>
      </c>
      <c r="N9" s="44" t="str">
        <f>IF(AND('Mapa final'!$AG$26="Muy Alta",'Mapa final'!$AI$26="Leve"),CONCATENATE("R4C",'Mapa final'!$S$26),"")</f>
        <v/>
      </c>
      <c r="O9" s="40" t="str">
        <f>IF(AND('Mapa final'!$AG$27="Muy Alta",'Mapa final'!$AI$27="Leve"),CONCATENATE("R4C",'Mapa final'!$S$27),"")</f>
        <v/>
      </c>
      <c r="P9" s="38" t="str">
        <f ca="1">IF(AND('Mapa final'!$AG$22="Muy Alta",'Mapa final'!$AI$22="Menor"),CONCATENATE("R4C",'Mapa final'!$S$22),"")</f>
        <v/>
      </c>
      <c r="Q9" s="39" t="str">
        <f ca="1">IF(AND('Mapa final'!$AG$23="Muy Alta",'Mapa final'!$AI$23="Menor"),CONCATENATE("R4C",'Mapa final'!$S$23),"")</f>
        <v/>
      </c>
      <c r="R9" s="44" t="str">
        <f ca="1">IF(AND('Mapa final'!$AG$24="Muy Alta",'Mapa final'!$AI$24="Menor"),CONCATENATE("R4C",'Mapa final'!$S$24),"")</f>
        <v/>
      </c>
      <c r="S9" s="44" t="str">
        <f>IF(AND('Mapa final'!$AG$25="Muy Alta",'Mapa final'!$AI$25="Menor"),CONCATENATE("R4C",'Mapa final'!$S$25),"")</f>
        <v/>
      </c>
      <c r="T9" s="44" t="str">
        <f>IF(AND('Mapa final'!$AG$26="Muy Alta",'Mapa final'!$AI$26="Menor"),CONCATENATE("R4C",'Mapa final'!$S$26),"")</f>
        <v/>
      </c>
      <c r="U9" s="40" t="str">
        <f>IF(AND('Mapa final'!$AG$27="Muy Alta",'Mapa final'!$AI$27="Menor"),CONCATENATE("R4C",'Mapa final'!$S$27),"")</f>
        <v/>
      </c>
      <c r="V9" s="38" t="str">
        <f ca="1">IF(AND('Mapa final'!$AG$22="Muy Alta",'Mapa final'!$AI$22="Moderado"),CONCATENATE("R4C",'Mapa final'!$S$22),"")</f>
        <v/>
      </c>
      <c r="W9" s="39" t="str">
        <f ca="1">IF(AND('Mapa final'!$AG$23="Muy Alta",'Mapa final'!$AI$23="Moderado"),CONCATENATE("R4C",'Mapa final'!$S$23),"")</f>
        <v/>
      </c>
      <c r="X9" s="44" t="str">
        <f ca="1">IF(AND('Mapa final'!$AG$24="Muy Alta",'Mapa final'!$AI$24="Moderado"),CONCATENATE("R4C",'Mapa final'!$S$24),"")</f>
        <v/>
      </c>
      <c r="Y9" s="44" t="str">
        <f>IF(AND('Mapa final'!$AG$25="Muy Alta",'Mapa final'!$AI$25="Moderado"),CONCATENATE("R4C",'Mapa final'!$S$25),"")</f>
        <v/>
      </c>
      <c r="Z9" s="44" t="str">
        <f>IF(AND('Mapa final'!$AG$26="Muy Alta",'Mapa final'!$AI$26="Moderado"),CONCATENATE("R4C",'Mapa final'!$S$26),"")</f>
        <v/>
      </c>
      <c r="AA9" s="40" t="str">
        <f>IF(AND('Mapa final'!$AG$27="Muy Alta",'Mapa final'!$AI$27="Moderado"),CONCATENATE("R4C",'Mapa final'!$S$27),"")</f>
        <v/>
      </c>
      <c r="AB9" s="38" t="str">
        <f ca="1">IF(AND('Mapa final'!$AG$22="Muy Alta",'Mapa final'!$AI$22="Mayor"),CONCATENATE("R4C",'Mapa final'!$S$22),"")</f>
        <v/>
      </c>
      <c r="AC9" s="39" t="str">
        <f ca="1">IF(AND('Mapa final'!$AG$23="Muy Alta",'Mapa final'!$AI$23="Mayor"),CONCATENATE("R4C",'Mapa final'!$S$23),"")</f>
        <v/>
      </c>
      <c r="AD9" s="44" t="str">
        <f ca="1">IF(AND('Mapa final'!$AG$24="Muy Alta",'Mapa final'!$AI$24="Mayor"),CONCATENATE("R4C",'Mapa final'!$S$24),"")</f>
        <v/>
      </c>
      <c r="AE9" s="44" t="str">
        <f>IF(AND('Mapa final'!$AG$25="Muy Alta",'Mapa final'!$AI$25="Mayor"),CONCATENATE("R4C",'Mapa final'!$S$25),"")</f>
        <v/>
      </c>
      <c r="AF9" s="44" t="str">
        <f>IF(AND('Mapa final'!$AG$26="Muy Alta",'Mapa final'!$AI$26="Mayor"),CONCATENATE("R4C",'Mapa final'!$S$26),"")</f>
        <v/>
      </c>
      <c r="AG9" s="40" t="str">
        <f>IF(AND('Mapa final'!$AG$27="Muy Alta",'Mapa final'!$AI$27="Mayor"),CONCATENATE("R4C",'Mapa final'!$S$27),"")</f>
        <v/>
      </c>
      <c r="AH9" s="41" t="str">
        <f ca="1">IF(AND('Mapa final'!$AG$22="Muy Alta",'Mapa final'!$AI$22="Catastrófico"),CONCATENATE("R4C",'Mapa final'!$S$22),"")</f>
        <v/>
      </c>
      <c r="AI9" s="42" t="str">
        <f ca="1">IF(AND('Mapa final'!$AG$23="Muy Alta",'Mapa final'!$AI$23="Catastrófico"),CONCATENATE("R4C",'Mapa final'!$S$23),"")</f>
        <v/>
      </c>
      <c r="AJ9" s="42" t="str">
        <f ca="1">IF(AND('Mapa final'!$AG$24="Muy Alta",'Mapa final'!$AI$24="Catastrófico"),CONCATENATE("R4C",'Mapa final'!$S$24),"")</f>
        <v/>
      </c>
      <c r="AK9" s="42" t="str">
        <f>IF(AND('Mapa final'!$AG$25="Muy Alta",'Mapa final'!$AI$25="Catastrófico"),CONCATENATE("R4C",'Mapa final'!$S$25),"")</f>
        <v/>
      </c>
      <c r="AL9" s="42" t="str">
        <f>IF(AND('Mapa final'!$AG$26="Muy Alta",'Mapa final'!$AI$26="Catastrófico"),CONCATENATE("R4C",'Mapa final'!$S$26),"")</f>
        <v/>
      </c>
      <c r="AM9" s="43" t="str">
        <f>IF(AND('Mapa final'!$AG$27="Muy Alta",'Mapa final'!$AI$27="Catastrófico"),CONCATENATE("R4C",'Mapa final'!$S$27),"")</f>
        <v/>
      </c>
      <c r="AN9" s="70"/>
      <c r="AO9" s="291"/>
      <c r="AP9" s="292"/>
      <c r="AQ9" s="292"/>
      <c r="AR9" s="292"/>
      <c r="AS9" s="292"/>
      <c r="AT9" s="293"/>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183"/>
      <c r="C10" s="183"/>
      <c r="D10" s="184"/>
      <c r="E10" s="284"/>
      <c r="F10" s="285"/>
      <c r="G10" s="285"/>
      <c r="H10" s="285"/>
      <c r="I10" s="300"/>
      <c r="J10" s="38" t="str">
        <f ca="1">IF(AND('Mapa final'!$AG$28="Muy Alta",'Mapa final'!$AI$28="Leve"),CONCATENATE("R5C",'Mapa final'!$S$28),"")</f>
        <v/>
      </c>
      <c r="K10" s="39" t="str">
        <f ca="1">IF(AND('Mapa final'!$AG$29="Muy Alta",'Mapa final'!$AI$29="Leve"),CONCATENATE("R5C",'Mapa final'!$S$29),"")</f>
        <v/>
      </c>
      <c r="L10" s="44" t="str">
        <f>IF(AND('Mapa final'!$AG$30="Muy Alta",'Mapa final'!$AI$30="Leve"),CONCATENATE("R5C",'Mapa final'!$S$30),"")</f>
        <v/>
      </c>
      <c r="M10" s="44" t="str">
        <f>IF(AND('Mapa final'!$AG$31="Muy Alta",'Mapa final'!$AI$31="Leve"),CONCATENATE("R5C",'Mapa final'!$S$31),"")</f>
        <v/>
      </c>
      <c r="N10" s="44" t="str">
        <f>IF(AND('Mapa final'!$AG$32="Muy Alta",'Mapa final'!$AI$32="Leve"),CONCATENATE("R5C",'Mapa final'!$S$32),"")</f>
        <v/>
      </c>
      <c r="O10" s="40" t="str">
        <f>IF(AND('Mapa final'!$AG$33="Muy Alta",'Mapa final'!$AI$33="Leve"),CONCATENATE("R5C",'Mapa final'!$S$33),"")</f>
        <v/>
      </c>
      <c r="P10" s="38" t="str">
        <f ca="1">IF(AND('Mapa final'!$AG$28="Muy Alta",'Mapa final'!$AI$28="Menor"),CONCATENATE("R5C",'Mapa final'!$S$28),"")</f>
        <v/>
      </c>
      <c r="Q10" s="39" t="str">
        <f ca="1">IF(AND('Mapa final'!$AG$29="Muy Alta",'Mapa final'!$AI$29="Menor"),CONCATENATE("R5C",'Mapa final'!$S$29),"")</f>
        <v/>
      </c>
      <c r="R10" s="44" t="str">
        <f>IF(AND('Mapa final'!$AG$30="Muy Alta",'Mapa final'!$AI$30="Menor"),CONCATENATE("R5C",'Mapa final'!$S$30),"")</f>
        <v/>
      </c>
      <c r="S10" s="44" t="str">
        <f>IF(AND('Mapa final'!$AG$31="Muy Alta",'Mapa final'!$AI$31="Menor"),CONCATENATE("R5C",'Mapa final'!$S$31),"")</f>
        <v/>
      </c>
      <c r="T10" s="44" t="str">
        <f>IF(AND('Mapa final'!$AG$32="Muy Alta",'Mapa final'!$AI$32="Menor"),CONCATENATE("R5C",'Mapa final'!$S$32),"")</f>
        <v/>
      </c>
      <c r="U10" s="40" t="str">
        <f>IF(AND('Mapa final'!$AG$33="Muy Alta",'Mapa final'!$AI$33="Menor"),CONCATENATE("R5C",'Mapa final'!$S$33),"")</f>
        <v/>
      </c>
      <c r="V10" s="38" t="str">
        <f ca="1">IF(AND('Mapa final'!$AG$28="Muy Alta",'Mapa final'!$AI$28="Moderado"),CONCATENATE("R5C",'Mapa final'!$S$28),"")</f>
        <v/>
      </c>
      <c r="W10" s="39" t="str">
        <f ca="1">IF(AND('Mapa final'!$AG$29="Muy Alta",'Mapa final'!$AI$29="Moderado"),CONCATENATE("R5C",'Mapa final'!$S$29),"")</f>
        <v/>
      </c>
      <c r="X10" s="44" t="str">
        <f>IF(AND('Mapa final'!$AG$30="Muy Alta",'Mapa final'!$AI$30="Moderado"),CONCATENATE("R5C",'Mapa final'!$S$30),"")</f>
        <v/>
      </c>
      <c r="Y10" s="44" t="str">
        <f>IF(AND('Mapa final'!$AG$31="Muy Alta",'Mapa final'!$AI$31="Moderado"),CONCATENATE("R5C",'Mapa final'!$S$31),"")</f>
        <v/>
      </c>
      <c r="Z10" s="44" t="str">
        <f>IF(AND('Mapa final'!$AG$32="Muy Alta",'Mapa final'!$AI$32="Moderado"),CONCATENATE("R5C",'Mapa final'!$S$32),"")</f>
        <v/>
      </c>
      <c r="AA10" s="40" t="str">
        <f>IF(AND('Mapa final'!$AG$33="Muy Alta",'Mapa final'!$AI$33="Moderado"),CONCATENATE("R5C",'Mapa final'!$S$33),"")</f>
        <v/>
      </c>
      <c r="AB10" s="38" t="str">
        <f ca="1">IF(AND('Mapa final'!$AG$28="Muy Alta",'Mapa final'!$AI$28="Mayor"),CONCATENATE("R5C",'Mapa final'!$S$28),"")</f>
        <v/>
      </c>
      <c r="AC10" s="39" t="str">
        <f ca="1">IF(AND('Mapa final'!$AG$29="Muy Alta",'Mapa final'!$AI$29="Mayor"),CONCATENATE("R5C",'Mapa final'!$S$29),"")</f>
        <v/>
      </c>
      <c r="AD10" s="44" t="str">
        <f>IF(AND('Mapa final'!$AG$30="Muy Alta",'Mapa final'!$AI$30="Mayor"),CONCATENATE("R5C",'Mapa final'!$S$30),"")</f>
        <v/>
      </c>
      <c r="AE10" s="44" t="str">
        <f>IF(AND('Mapa final'!$AG$31="Muy Alta",'Mapa final'!$AI$31="Mayor"),CONCATENATE("R5C",'Mapa final'!$S$31),"")</f>
        <v/>
      </c>
      <c r="AF10" s="44" t="str">
        <f>IF(AND('Mapa final'!$AG$32="Muy Alta",'Mapa final'!$AI$32="Mayor"),CONCATENATE("R5C",'Mapa final'!$S$32),"")</f>
        <v/>
      </c>
      <c r="AG10" s="40" t="str">
        <f>IF(AND('Mapa final'!$AG$33="Muy Alta",'Mapa final'!$AI$33="Mayor"),CONCATENATE("R5C",'Mapa final'!$S$33),"")</f>
        <v/>
      </c>
      <c r="AH10" s="41" t="str">
        <f ca="1">IF(AND('Mapa final'!$AG$28="Muy Alta",'Mapa final'!$AI$28="Catastrófico"),CONCATENATE("R5C",'Mapa final'!$S$28),"")</f>
        <v/>
      </c>
      <c r="AI10" s="42" t="str">
        <f ca="1">IF(AND('Mapa final'!$AG$29="Muy Alta",'Mapa final'!$AI$29="Catastrófico"),CONCATENATE("R5C",'Mapa final'!$S$29),"")</f>
        <v/>
      </c>
      <c r="AJ10" s="42" t="str">
        <f>IF(AND('Mapa final'!$AG$30="Muy Alta",'Mapa final'!$AI$30="Catastrófico"),CONCATENATE("R5C",'Mapa final'!$S$30),"")</f>
        <v/>
      </c>
      <c r="AK10" s="42" t="str">
        <f>IF(AND('Mapa final'!$AG$31="Muy Alta",'Mapa final'!$AI$31="Catastrófico"),CONCATENATE("R5C",'Mapa final'!$S$31),"")</f>
        <v/>
      </c>
      <c r="AL10" s="42" t="str">
        <f>IF(AND('Mapa final'!$AG$32="Muy Alta",'Mapa final'!$AI$32="Catastrófico"),CONCATENATE("R5C",'Mapa final'!$S$32),"")</f>
        <v/>
      </c>
      <c r="AM10" s="43" t="str">
        <f>IF(AND('Mapa final'!$AG$33="Muy Alta",'Mapa final'!$AI$33="Catastrófico"),CONCATENATE("R5C",'Mapa final'!$S$33),"")</f>
        <v/>
      </c>
      <c r="AN10" s="70"/>
      <c r="AO10" s="291"/>
      <c r="AP10" s="292"/>
      <c r="AQ10" s="292"/>
      <c r="AR10" s="292"/>
      <c r="AS10" s="292"/>
      <c r="AT10" s="293"/>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183"/>
      <c r="C11" s="183"/>
      <c r="D11" s="184"/>
      <c r="E11" s="284"/>
      <c r="F11" s="285"/>
      <c r="G11" s="285"/>
      <c r="H11" s="285"/>
      <c r="I11" s="300"/>
      <c r="J11" s="38" t="str">
        <f ca="1">IF(AND('Mapa final'!$AG$34="Muy Alta",'Mapa final'!$AI$34="Leve"),CONCATENATE("R6C",'Mapa final'!$S$34),"")</f>
        <v/>
      </c>
      <c r="K11" s="39" t="str">
        <f ca="1">IF(AND('Mapa final'!$AG$35="Muy Alta",'Mapa final'!$AI$35="Leve"),CONCATENATE("R6C",'Mapa final'!$S$35),"")</f>
        <v/>
      </c>
      <c r="L11" s="44" t="str">
        <f ca="1">IF(AND('Mapa final'!$AG$36="Muy Alta",'Mapa final'!$AI$36="Leve"),CONCATENATE("R6C",'Mapa final'!$S$36),"")</f>
        <v/>
      </c>
      <c r="M11" s="44" t="str">
        <f ca="1">IF(AND('Mapa final'!$AG$37="Muy Alta",'Mapa final'!$AI$37="Leve"),CONCATENATE("R6C",'Mapa final'!$S$37),"")</f>
        <v/>
      </c>
      <c r="N11" s="44" t="str">
        <f>IF(AND('Mapa final'!$AG$38="Muy Alta",'Mapa final'!$AI$38="Leve"),CONCATENATE("R6C",'Mapa final'!$S$38),"")</f>
        <v/>
      </c>
      <c r="O11" s="40" t="str">
        <f>IF(AND('Mapa final'!$AG$39="Muy Alta",'Mapa final'!$AI$39="Leve"),CONCATENATE("R6C",'Mapa final'!$S$39),"")</f>
        <v/>
      </c>
      <c r="P11" s="38" t="str">
        <f ca="1">IF(AND('Mapa final'!$AG$34="Muy Alta",'Mapa final'!$AI$34="Menor"),CONCATENATE("R6C",'Mapa final'!$S$34),"")</f>
        <v/>
      </c>
      <c r="Q11" s="39" t="str">
        <f ca="1">IF(AND('Mapa final'!$AG$35="Muy Alta",'Mapa final'!$AI$35="Menor"),CONCATENATE("R6C",'Mapa final'!$S$35),"")</f>
        <v/>
      </c>
      <c r="R11" s="44" t="str">
        <f ca="1">IF(AND('Mapa final'!$AG$36="Muy Alta",'Mapa final'!$AI$36="Menor"),CONCATENATE("R6C",'Mapa final'!$S$36),"")</f>
        <v/>
      </c>
      <c r="S11" s="44" t="str">
        <f ca="1">IF(AND('Mapa final'!$AG$37="Muy Alta",'Mapa final'!$AI$37="Menor"),CONCATENATE("R6C",'Mapa final'!$S$37),"")</f>
        <v/>
      </c>
      <c r="T11" s="44" t="str">
        <f>IF(AND('Mapa final'!$AG$38="Muy Alta",'Mapa final'!$AI$38="Menor"),CONCATENATE("R6C",'Mapa final'!$S$38),"")</f>
        <v/>
      </c>
      <c r="U11" s="40" t="str">
        <f>IF(AND('Mapa final'!$AG$39="Muy Alta",'Mapa final'!$AI$39="Menor"),CONCATENATE("R6C",'Mapa final'!$S$39),"")</f>
        <v/>
      </c>
      <c r="V11" s="38" t="str">
        <f ca="1">IF(AND('Mapa final'!$AG$34="Muy Alta",'Mapa final'!$AI$34="Moderado"),CONCATENATE("R6C",'Mapa final'!$S$34),"")</f>
        <v/>
      </c>
      <c r="W11" s="39" t="str">
        <f ca="1">IF(AND('Mapa final'!$AG$35="Muy Alta",'Mapa final'!$AI$35="Moderado"),CONCATENATE("R6C",'Mapa final'!$S$35),"")</f>
        <v/>
      </c>
      <c r="X11" s="44" t="str">
        <f ca="1">IF(AND('Mapa final'!$AG$36="Muy Alta",'Mapa final'!$AI$36="Moderado"),CONCATENATE("R6C",'Mapa final'!$S$36),"")</f>
        <v/>
      </c>
      <c r="Y11" s="44" t="str">
        <f ca="1">IF(AND('Mapa final'!$AG$37="Muy Alta",'Mapa final'!$AI$37="Moderado"),CONCATENATE("R6C",'Mapa final'!$S$37),"")</f>
        <v/>
      </c>
      <c r="Z11" s="44" t="str">
        <f>IF(AND('Mapa final'!$AG$38="Muy Alta",'Mapa final'!$AI$38="Moderado"),CONCATENATE("R6C",'Mapa final'!$S$38),"")</f>
        <v/>
      </c>
      <c r="AA11" s="40" t="str">
        <f>IF(AND('Mapa final'!$AG$39="Muy Alta",'Mapa final'!$AI$39="Moderado"),CONCATENATE("R6C",'Mapa final'!$S$39),"")</f>
        <v/>
      </c>
      <c r="AB11" s="38" t="str">
        <f ca="1">IF(AND('Mapa final'!$AG$34="Muy Alta",'Mapa final'!$AI$34="Mayor"),CONCATENATE("R6C",'Mapa final'!$S$34),"")</f>
        <v/>
      </c>
      <c r="AC11" s="39" t="str">
        <f ca="1">IF(AND('Mapa final'!$AG$35="Muy Alta",'Mapa final'!$AI$35="Mayor"),CONCATENATE("R6C",'Mapa final'!$S$35),"")</f>
        <v/>
      </c>
      <c r="AD11" s="44" t="str">
        <f ca="1">IF(AND('Mapa final'!$AG$36="Muy Alta",'Mapa final'!$AI$36="Mayor"),CONCATENATE("R6C",'Mapa final'!$S$36),"")</f>
        <v/>
      </c>
      <c r="AE11" s="44" t="str">
        <f ca="1">IF(AND('Mapa final'!$AG$37="Muy Alta",'Mapa final'!$AI$37="Mayor"),CONCATENATE("R6C",'Mapa final'!$S$37),"")</f>
        <v/>
      </c>
      <c r="AF11" s="44" t="str">
        <f>IF(AND('Mapa final'!$AG$38="Muy Alta",'Mapa final'!$AI$38="Mayor"),CONCATENATE("R6C",'Mapa final'!$S$38),"")</f>
        <v/>
      </c>
      <c r="AG11" s="40" t="str">
        <f>IF(AND('Mapa final'!$AG$39="Muy Alta",'Mapa final'!$AI$39="Mayor"),CONCATENATE("R6C",'Mapa final'!$S$39),"")</f>
        <v/>
      </c>
      <c r="AH11" s="41" t="str">
        <f ca="1">IF(AND('Mapa final'!$AG$34="Muy Alta",'Mapa final'!$AI$34="Catastrófico"),CONCATENATE("R6C",'Mapa final'!$S$34),"")</f>
        <v/>
      </c>
      <c r="AI11" s="42" t="str">
        <f ca="1">IF(AND('Mapa final'!$AG$35="Muy Alta",'Mapa final'!$AI$35="Catastrófico"),CONCATENATE("R6C",'Mapa final'!$S$35),"")</f>
        <v/>
      </c>
      <c r="AJ11" s="42" t="str">
        <f ca="1">IF(AND('Mapa final'!$AG$36="Muy Alta",'Mapa final'!$AI$36="Catastrófico"),CONCATENATE("R6C",'Mapa final'!$S$36),"")</f>
        <v/>
      </c>
      <c r="AK11" s="42" t="str">
        <f ca="1">IF(AND('Mapa final'!$AG$37="Muy Alta",'Mapa final'!$AI$37="Catastrófico"),CONCATENATE("R6C",'Mapa final'!$S$37),"")</f>
        <v/>
      </c>
      <c r="AL11" s="42" t="str">
        <f>IF(AND('Mapa final'!$AG$38="Muy Alta",'Mapa final'!$AI$38="Catastrófico"),CONCATENATE("R6C",'Mapa final'!$S$38),"")</f>
        <v/>
      </c>
      <c r="AM11" s="43" t="str">
        <f>IF(AND('Mapa final'!$AG$39="Muy Alta",'Mapa final'!$AI$39="Catastrófico"),CONCATENATE("R6C",'Mapa final'!$S$39),"")</f>
        <v/>
      </c>
      <c r="AN11" s="70"/>
      <c r="AO11" s="291"/>
      <c r="AP11" s="292"/>
      <c r="AQ11" s="292"/>
      <c r="AR11" s="292"/>
      <c r="AS11" s="292"/>
      <c r="AT11" s="293"/>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183"/>
      <c r="C12" s="183"/>
      <c r="D12" s="184"/>
      <c r="E12" s="284"/>
      <c r="F12" s="285"/>
      <c r="G12" s="285"/>
      <c r="H12" s="285"/>
      <c r="I12" s="300"/>
      <c r="J12" s="38" t="str">
        <f ca="1">IF(AND('Mapa final'!$AG$40="Muy Alta",'Mapa final'!$AI$40="Leve"),CONCATENATE("R7C",'Mapa final'!$S$40),"")</f>
        <v/>
      </c>
      <c r="K12" s="39" t="str">
        <f ca="1">IF(AND('Mapa final'!$AG$41="Muy Alta",'Mapa final'!$AI$41="Leve"),CONCATENATE("R7C",'Mapa final'!$S$41),"")</f>
        <v/>
      </c>
      <c r="L12" s="44" t="str">
        <f>IF(AND('Mapa final'!$AG$42="Muy Alta",'Mapa final'!$AI$42="Leve"),CONCATENATE("R7C",'Mapa final'!$S$42),"")</f>
        <v/>
      </c>
      <c r="M12" s="44" t="str">
        <f>IF(AND('Mapa final'!$AG$43="Muy Alta",'Mapa final'!$AI$43="Leve"),CONCATENATE("R7C",'Mapa final'!$S$43),"")</f>
        <v/>
      </c>
      <c r="N12" s="44" t="str">
        <f>IF(AND('Mapa final'!$AG$44="Muy Alta",'Mapa final'!$AI$44="Leve"),CONCATENATE("R7C",'Mapa final'!$S$44),"")</f>
        <v/>
      </c>
      <c r="O12" s="40" t="str">
        <f>IF(AND('Mapa final'!$AG$45="Muy Alta",'Mapa final'!$AI$45="Leve"),CONCATENATE("R7C",'Mapa final'!$S$45),"")</f>
        <v/>
      </c>
      <c r="P12" s="38" t="str">
        <f ca="1">IF(AND('Mapa final'!$AG$40="Muy Alta",'Mapa final'!$AI$40="Menor"),CONCATENATE("R7C",'Mapa final'!$S$40),"")</f>
        <v/>
      </c>
      <c r="Q12" s="39" t="str">
        <f ca="1">IF(AND('Mapa final'!$AG$41="Muy Alta",'Mapa final'!$AI$41="Menor"),CONCATENATE("R7C",'Mapa final'!$S$41),"")</f>
        <v/>
      </c>
      <c r="R12" s="44" t="str">
        <f>IF(AND('Mapa final'!$AG$42="Muy Alta",'Mapa final'!$AI$42="Menor"),CONCATENATE("R7C",'Mapa final'!$S$42),"")</f>
        <v/>
      </c>
      <c r="S12" s="44" t="str">
        <f>IF(AND('Mapa final'!$AG$43="Muy Alta",'Mapa final'!$AI$43="Menor"),CONCATENATE("R7C",'Mapa final'!$S$43),"")</f>
        <v/>
      </c>
      <c r="T12" s="44" t="str">
        <f>IF(AND('Mapa final'!$AG$44="Muy Alta",'Mapa final'!$AI$44="Menor"),CONCATENATE("R7C",'Mapa final'!$S$44),"")</f>
        <v/>
      </c>
      <c r="U12" s="40" t="str">
        <f>IF(AND('Mapa final'!$AG$45="Muy Alta",'Mapa final'!$AI$45="Menor"),CONCATENATE("R7C",'Mapa final'!$S$45),"")</f>
        <v/>
      </c>
      <c r="V12" s="38" t="str">
        <f ca="1">IF(AND('Mapa final'!$AG$40="Muy Alta",'Mapa final'!$AI$40="Moderado"),CONCATENATE("R7C",'Mapa final'!$S$40),"")</f>
        <v/>
      </c>
      <c r="W12" s="39" t="str">
        <f ca="1">IF(AND('Mapa final'!$AG$41="Muy Alta",'Mapa final'!$AI$41="Moderado"),CONCATENATE("R7C",'Mapa final'!$S$41),"")</f>
        <v/>
      </c>
      <c r="X12" s="44" t="str">
        <f>IF(AND('Mapa final'!$AG$42="Muy Alta",'Mapa final'!$AI$42="Moderado"),CONCATENATE("R7C",'Mapa final'!$S$42),"")</f>
        <v/>
      </c>
      <c r="Y12" s="44" t="str">
        <f>IF(AND('Mapa final'!$AG$43="Muy Alta",'Mapa final'!$AI$43="Moderado"),CONCATENATE("R7C",'Mapa final'!$S$43),"")</f>
        <v/>
      </c>
      <c r="Z12" s="44" t="str">
        <f>IF(AND('Mapa final'!$AG$44="Muy Alta",'Mapa final'!$AI$44="Moderado"),CONCATENATE("R7C",'Mapa final'!$S$44),"")</f>
        <v/>
      </c>
      <c r="AA12" s="40" t="str">
        <f>IF(AND('Mapa final'!$AG$45="Muy Alta",'Mapa final'!$AI$45="Moderado"),CONCATENATE("R7C",'Mapa final'!$S$45),"")</f>
        <v/>
      </c>
      <c r="AB12" s="38" t="str">
        <f ca="1">IF(AND('Mapa final'!$AG$40="Muy Alta",'Mapa final'!$AI$40="Mayor"),CONCATENATE("R7C",'Mapa final'!$S$40),"")</f>
        <v/>
      </c>
      <c r="AC12" s="39" t="str">
        <f ca="1">IF(AND('Mapa final'!$AG$41="Muy Alta",'Mapa final'!$AI$41="Mayor"),CONCATENATE("R7C",'Mapa final'!$S$41),"")</f>
        <v/>
      </c>
      <c r="AD12" s="44" t="str">
        <f>IF(AND('Mapa final'!$AG$42="Muy Alta",'Mapa final'!$AI$42="Mayor"),CONCATENATE("R7C",'Mapa final'!$S$42),"")</f>
        <v/>
      </c>
      <c r="AE12" s="44" t="str">
        <f>IF(AND('Mapa final'!$AG$43="Muy Alta",'Mapa final'!$AI$43="Mayor"),CONCATENATE("R7C",'Mapa final'!$S$43),"")</f>
        <v/>
      </c>
      <c r="AF12" s="44" t="str">
        <f>IF(AND('Mapa final'!$AG$44="Muy Alta",'Mapa final'!$AI$44="Mayor"),CONCATENATE("R7C",'Mapa final'!$S$44),"")</f>
        <v/>
      </c>
      <c r="AG12" s="40" t="str">
        <f>IF(AND('Mapa final'!$AG$45="Muy Alta",'Mapa final'!$AI$45="Mayor"),CONCATENATE("R7C",'Mapa final'!$S$45),"")</f>
        <v/>
      </c>
      <c r="AH12" s="41" t="str">
        <f ca="1">IF(AND('Mapa final'!$AG$40="Muy Alta",'Mapa final'!$AI$40="Catastrófico"),CONCATENATE("R7C",'Mapa final'!$S$40),"")</f>
        <v/>
      </c>
      <c r="AI12" s="42" t="str">
        <f ca="1">IF(AND('Mapa final'!$AG$41="Muy Alta",'Mapa final'!$AI$41="Catastrófico"),CONCATENATE("R7C",'Mapa final'!$S$41),"")</f>
        <v/>
      </c>
      <c r="AJ12" s="42" t="str">
        <f>IF(AND('Mapa final'!$AG$42="Muy Alta",'Mapa final'!$AI$42="Catastrófico"),CONCATENATE("R7C",'Mapa final'!$S$42),"")</f>
        <v/>
      </c>
      <c r="AK12" s="42" t="str">
        <f>IF(AND('Mapa final'!$AG$43="Muy Alta",'Mapa final'!$AI$43="Catastrófico"),CONCATENATE("R7C",'Mapa final'!$S$43),"")</f>
        <v/>
      </c>
      <c r="AL12" s="42" t="str">
        <f>IF(AND('Mapa final'!$AG$44="Muy Alta",'Mapa final'!$AI$44="Catastrófico"),CONCATENATE("R7C",'Mapa final'!$S$44),"")</f>
        <v/>
      </c>
      <c r="AM12" s="43" t="str">
        <f>IF(AND('Mapa final'!$AG$45="Muy Alta",'Mapa final'!$AI$45="Catastrófico"),CONCATENATE("R7C",'Mapa final'!$S$45),"")</f>
        <v/>
      </c>
      <c r="AN12" s="70"/>
      <c r="AO12" s="291"/>
      <c r="AP12" s="292"/>
      <c r="AQ12" s="292"/>
      <c r="AR12" s="292"/>
      <c r="AS12" s="292"/>
      <c r="AT12" s="293"/>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183"/>
      <c r="C13" s="183"/>
      <c r="D13" s="184"/>
      <c r="E13" s="284"/>
      <c r="F13" s="285"/>
      <c r="G13" s="285"/>
      <c r="H13" s="285"/>
      <c r="I13" s="300"/>
      <c r="J13" s="38" t="str">
        <f ca="1">IF(AND('Mapa final'!$AG$46="Muy Alta",'Mapa final'!$AI$46="Leve"),CONCATENATE("R8C",'Mapa final'!$S$46),"")</f>
        <v/>
      </c>
      <c r="K13" s="39" t="str">
        <f ca="1">IF(AND('Mapa final'!$AG$47="Muy Alta",'Mapa final'!$AI$47="Leve"),CONCATENATE("R8C",'Mapa final'!$S$47),"")</f>
        <v/>
      </c>
      <c r="L13" s="44" t="str">
        <f ca="1">IF(AND('Mapa final'!$AG$48="Muy Alta",'Mapa final'!$AI$48="Leve"),CONCATENATE("R8C",'Mapa final'!$S$48),"")</f>
        <v/>
      </c>
      <c r="M13" s="44" t="str">
        <f ca="1">IF(AND('Mapa final'!$AG$49="Muy Alta",'Mapa final'!$AI$49="Leve"),CONCATENATE("R8C",'Mapa final'!$S$49),"")</f>
        <v/>
      </c>
      <c r="N13" s="44" t="str">
        <f>IF(AND('Mapa final'!$AG$50="Muy Alta",'Mapa final'!$AI$50="Leve"),CONCATENATE("R8C",'Mapa final'!$S$50),"")</f>
        <v/>
      </c>
      <c r="O13" s="40" t="str">
        <f>IF(AND('Mapa final'!$AG$51="Muy Alta",'Mapa final'!$AI$51="Leve"),CONCATENATE("R8C",'Mapa final'!$S$51),"")</f>
        <v/>
      </c>
      <c r="P13" s="38" t="str">
        <f ca="1">IF(AND('Mapa final'!$AG$46="Muy Alta",'Mapa final'!$AI$46="Menor"),CONCATENATE("R8C",'Mapa final'!$S$46),"")</f>
        <v/>
      </c>
      <c r="Q13" s="39" t="str">
        <f ca="1">IF(AND('Mapa final'!$AG$47="Muy Alta",'Mapa final'!$AI$47="Menor"),CONCATENATE("R8C",'Mapa final'!$S$47),"")</f>
        <v/>
      </c>
      <c r="R13" s="44" t="str">
        <f ca="1">IF(AND('Mapa final'!$AG$48="Muy Alta",'Mapa final'!$AI$48="Menor"),CONCATENATE("R8C",'Mapa final'!$S$48),"")</f>
        <v/>
      </c>
      <c r="S13" s="44" t="str">
        <f ca="1">IF(AND('Mapa final'!$AG$49="Muy Alta",'Mapa final'!$AI$49="Menor"),CONCATENATE("R8C",'Mapa final'!$S$49),"")</f>
        <v/>
      </c>
      <c r="T13" s="44" t="str">
        <f>IF(AND('Mapa final'!$AG$50="Muy Alta",'Mapa final'!$AI$50="Menor"),CONCATENATE("R8C",'Mapa final'!$S$50),"")</f>
        <v/>
      </c>
      <c r="U13" s="40" t="str">
        <f>IF(AND('Mapa final'!$AG$51="Muy Alta",'Mapa final'!$AI$51="Menor"),CONCATENATE("R8C",'Mapa final'!$S$51),"")</f>
        <v/>
      </c>
      <c r="V13" s="38" t="str">
        <f ca="1">IF(AND('Mapa final'!$AG$46="Muy Alta",'Mapa final'!$AI$46="Moderado"),CONCATENATE("R8C",'Mapa final'!$S$46),"")</f>
        <v/>
      </c>
      <c r="W13" s="39" t="str">
        <f ca="1">IF(AND('Mapa final'!$AG$47="Muy Alta",'Mapa final'!$AI$47="Moderado"),CONCATENATE("R8C",'Mapa final'!$S$47),"")</f>
        <v/>
      </c>
      <c r="X13" s="44" t="str">
        <f ca="1">IF(AND('Mapa final'!$AG$48="Muy Alta",'Mapa final'!$AI$48="Moderado"),CONCATENATE("R8C",'Mapa final'!$S$48),"")</f>
        <v/>
      </c>
      <c r="Y13" s="44" t="str">
        <f ca="1">IF(AND('Mapa final'!$AG$49="Muy Alta",'Mapa final'!$AI$49="Moderado"),CONCATENATE("R8C",'Mapa final'!$S$49),"")</f>
        <v/>
      </c>
      <c r="Z13" s="44" t="str">
        <f>IF(AND('Mapa final'!$AG$50="Muy Alta",'Mapa final'!$AI$50="Moderado"),CONCATENATE("R8C",'Mapa final'!$S$50),"")</f>
        <v/>
      </c>
      <c r="AA13" s="40" t="str">
        <f>IF(AND('Mapa final'!$AG$51="Muy Alta",'Mapa final'!$AI$51="Moderado"),CONCATENATE("R8C",'Mapa final'!$S$51),"")</f>
        <v/>
      </c>
      <c r="AB13" s="38" t="str">
        <f ca="1">IF(AND('Mapa final'!$AG$46="Muy Alta",'Mapa final'!$AI$46="Mayor"),CONCATENATE("R8C",'Mapa final'!$S$46),"")</f>
        <v/>
      </c>
      <c r="AC13" s="39" t="str">
        <f ca="1">IF(AND('Mapa final'!$AG$47="Muy Alta",'Mapa final'!$AI$47="Mayor"),CONCATENATE("R8C",'Mapa final'!$S$47),"")</f>
        <v/>
      </c>
      <c r="AD13" s="44" t="str">
        <f ca="1">IF(AND('Mapa final'!$AG$48="Muy Alta",'Mapa final'!$AI$48="Mayor"),CONCATENATE("R8C",'Mapa final'!$S$48),"")</f>
        <v/>
      </c>
      <c r="AE13" s="44" t="str">
        <f ca="1">IF(AND('Mapa final'!$AG$49="Muy Alta",'Mapa final'!$AI$49="Mayor"),CONCATENATE("R8C",'Mapa final'!$S$49),"")</f>
        <v/>
      </c>
      <c r="AF13" s="44" t="str">
        <f>IF(AND('Mapa final'!$AG$50="Muy Alta",'Mapa final'!$AI$50="Mayor"),CONCATENATE("R8C",'Mapa final'!$S$50),"")</f>
        <v/>
      </c>
      <c r="AG13" s="40" t="str">
        <f>IF(AND('Mapa final'!$AG$51="Muy Alta",'Mapa final'!$AI$51="Mayor"),CONCATENATE("R8C",'Mapa final'!$S$51),"")</f>
        <v/>
      </c>
      <c r="AH13" s="41" t="str">
        <f ca="1">IF(AND('Mapa final'!$AG$46="Muy Alta",'Mapa final'!$AI$46="Catastrófico"),CONCATENATE("R8C",'Mapa final'!$S$46),"")</f>
        <v/>
      </c>
      <c r="AI13" s="42" t="str">
        <f ca="1">IF(AND('Mapa final'!$AG$47="Muy Alta",'Mapa final'!$AI$47="Catastrófico"),CONCATENATE("R8C",'Mapa final'!$S$47),"")</f>
        <v/>
      </c>
      <c r="AJ13" s="42" t="str">
        <f ca="1">IF(AND('Mapa final'!$AG$48="Muy Alta",'Mapa final'!$AI$48="Catastrófico"),CONCATENATE("R8C",'Mapa final'!$S$48),"")</f>
        <v/>
      </c>
      <c r="AK13" s="42" t="str">
        <f ca="1">IF(AND('Mapa final'!$AG$49="Muy Alta",'Mapa final'!$AI$49="Catastrófico"),CONCATENATE("R8C",'Mapa final'!$S$49),"")</f>
        <v/>
      </c>
      <c r="AL13" s="42" t="str">
        <f>IF(AND('Mapa final'!$AG$50="Muy Alta",'Mapa final'!$AI$50="Catastrófico"),CONCATENATE("R8C",'Mapa final'!$S$50),"")</f>
        <v/>
      </c>
      <c r="AM13" s="43" t="str">
        <f>IF(AND('Mapa final'!$AG$51="Muy Alta",'Mapa final'!$AI$51="Catastrófico"),CONCATENATE("R8C",'Mapa final'!$S$51),"")</f>
        <v/>
      </c>
      <c r="AN13" s="70"/>
      <c r="AO13" s="291"/>
      <c r="AP13" s="292"/>
      <c r="AQ13" s="292"/>
      <c r="AR13" s="292"/>
      <c r="AS13" s="292"/>
      <c r="AT13" s="293"/>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183"/>
      <c r="C14" s="183"/>
      <c r="D14" s="184"/>
      <c r="E14" s="284"/>
      <c r="F14" s="285"/>
      <c r="G14" s="285"/>
      <c r="H14" s="285"/>
      <c r="I14" s="300"/>
      <c r="J14" s="38" t="str">
        <f ca="1">IF(AND('Mapa final'!$AG$52="Muy Alta",'Mapa final'!$AI$52="Leve"),CONCATENATE("R9C",'Mapa final'!$S$52),"")</f>
        <v/>
      </c>
      <c r="K14" s="39" t="str">
        <f ca="1">IF(AND('Mapa final'!$AG$53="Muy Alta",'Mapa final'!$AI$53="Leve"),CONCATENATE("R9C",'Mapa final'!$S$53),"")</f>
        <v/>
      </c>
      <c r="L14" s="44" t="str">
        <f ca="1">IF(AND('Mapa final'!$AG$54="Muy Alta",'Mapa final'!$AI$54="Leve"),CONCATENATE("R9C",'Mapa final'!$S$54),"")</f>
        <v/>
      </c>
      <c r="M14" s="44" t="str">
        <f ca="1">IF(AND('Mapa final'!$AG$55="Muy Alta",'Mapa final'!$AI$55="Leve"),CONCATENATE("R9C",'Mapa final'!$S$55),"")</f>
        <v/>
      </c>
      <c r="N14" s="44" t="str">
        <f>IF(AND('Mapa final'!$AG$56="Muy Alta",'Mapa final'!$AI$56="Leve"),CONCATENATE("R9C",'Mapa final'!$S$56),"")</f>
        <v/>
      </c>
      <c r="O14" s="40" t="str">
        <f>IF(AND('Mapa final'!$AG$57="Muy Alta",'Mapa final'!$AI$57="Leve"),CONCATENATE("R9C",'Mapa final'!$S$57),"")</f>
        <v/>
      </c>
      <c r="P14" s="38" t="str">
        <f ca="1">IF(AND('Mapa final'!$AG$52="Muy Alta",'Mapa final'!$AI$52="Menor"),CONCATENATE("R9C",'Mapa final'!$S$52),"")</f>
        <v/>
      </c>
      <c r="Q14" s="39" t="str">
        <f ca="1">IF(AND('Mapa final'!$AG$53="Muy Alta",'Mapa final'!$AI$53="Menor"),CONCATENATE("R9C",'Mapa final'!$S$53),"")</f>
        <v/>
      </c>
      <c r="R14" s="44" t="str">
        <f ca="1">IF(AND('Mapa final'!$AG$54="Muy Alta",'Mapa final'!$AI$54="Menor"),CONCATENATE("R9C",'Mapa final'!$S$54),"")</f>
        <v/>
      </c>
      <c r="S14" s="44" t="str">
        <f ca="1">IF(AND('Mapa final'!$AG$55="Muy Alta",'Mapa final'!$AI$55="Menor"),CONCATENATE("R9C",'Mapa final'!$S$55),"")</f>
        <v/>
      </c>
      <c r="T14" s="44" t="str">
        <f>IF(AND('Mapa final'!$AG$56="Muy Alta",'Mapa final'!$AI$56="Menor"),CONCATENATE("R9C",'Mapa final'!$S$56),"")</f>
        <v/>
      </c>
      <c r="U14" s="40" t="str">
        <f>IF(AND('Mapa final'!$AG$57="Muy Alta",'Mapa final'!$AI$57="Menor"),CONCATENATE("R9C",'Mapa final'!$S$57),"")</f>
        <v/>
      </c>
      <c r="V14" s="38" t="str">
        <f ca="1">IF(AND('Mapa final'!$AG$52="Muy Alta",'Mapa final'!$AI$52="Moderado"),CONCATENATE("R9C",'Mapa final'!$S$52),"")</f>
        <v/>
      </c>
      <c r="W14" s="39" t="str">
        <f ca="1">IF(AND('Mapa final'!$AG$53="Muy Alta",'Mapa final'!$AI$53="Moderado"),CONCATENATE("R9C",'Mapa final'!$S$53),"")</f>
        <v/>
      </c>
      <c r="X14" s="44" t="str">
        <f ca="1">IF(AND('Mapa final'!$AG$54="Muy Alta",'Mapa final'!$AI$54="Moderado"),CONCATENATE("R9C",'Mapa final'!$S$54),"")</f>
        <v/>
      </c>
      <c r="Y14" s="44" t="str">
        <f ca="1">IF(AND('Mapa final'!$AG$55="Muy Alta",'Mapa final'!$AI$55="Moderado"),CONCATENATE("R9C",'Mapa final'!$S$55),"")</f>
        <v/>
      </c>
      <c r="Z14" s="44" t="str">
        <f>IF(AND('Mapa final'!$AG$56="Muy Alta",'Mapa final'!$AI$56="Moderado"),CONCATENATE("R9C",'Mapa final'!$S$56),"")</f>
        <v/>
      </c>
      <c r="AA14" s="40" t="str">
        <f>IF(AND('Mapa final'!$AG$57="Muy Alta",'Mapa final'!$AI$57="Moderado"),CONCATENATE("R9C",'Mapa final'!$S$57),"")</f>
        <v/>
      </c>
      <c r="AB14" s="38" t="str">
        <f ca="1">IF(AND('Mapa final'!$AG$52="Muy Alta",'Mapa final'!$AI$52="Mayor"),CONCATENATE("R9C",'Mapa final'!$S$52),"")</f>
        <v/>
      </c>
      <c r="AC14" s="39" t="str">
        <f ca="1">IF(AND('Mapa final'!$AG$53="Muy Alta",'Mapa final'!$AI$53="Mayor"),CONCATENATE("R9C",'Mapa final'!$S$53),"")</f>
        <v/>
      </c>
      <c r="AD14" s="44" t="str">
        <f ca="1">IF(AND('Mapa final'!$AG$54="Muy Alta",'Mapa final'!$AI$54="Mayor"),CONCATENATE("R9C",'Mapa final'!$S$54),"")</f>
        <v/>
      </c>
      <c r="AE14" s="44" t="str">
        <f ca="1">IF(AND('Mapa final'!$AG$55="Muy Alta",'Mapa final'!$AI$55="Mayor"),CONCATENATE("R9C",'Mapa final'!$S$55),"")</f>
        <v/>
      </c>
      <c r="AF14" s="44" t="str">
        <f>IF(AND('Mapa final'!$AG$56="Muy Alta",'Mapa final'!$AI$56="Mayor"),CONCATENATE("R9C",'Mapa final'!$S$56),"")</f>
        <v/>
      </c>
      <c r="AG14" s="40" t="str">
        <f>IF(AND('Mapa final'!$AG$57="Muy Alta",'Mapa final'!$AI$57="Mayor"),CONCATENATE("R9C",'Mapa final'!$S$57),"")</f>
        <v/>
      </c>
      <c r="AH14" s="41" t="str">
        <f ca="1">IF(AND('Mapa final'!$AG$52="Muy Alta",'Mapa final'!$AI$52="Catastrófico"),CONCATENATE("R9C",'Mapa final'!$S$52),"")</f>
        <v/>
      </c>
      <c r="AI14" s="42" t="str">
        <f ca="1">IF(AND('Mapa final'!$AG$53="Muy Alta",'Mapa final'!$AI$53="Catastrófico"),CONCATENATE("R9C",'Mapa final'!$S$53),"")</f>
        <v/>
      </c>
      <c r="AJ14" s="42" t="str">
        <f ca="1">IF(AND('Mapa final'!$AG$54="Muy Alta",'Mapa final'!$AI$54="Catastrófico"),CONCATENATE("R9C",'Mapa final'!$S$54),"")</f>
        <v/>
      </c>
      <c r="AK14" s="42" t="str">
        <f ca="1">IF(AND('Mapa final'!$AG$55="Muy Alta",'Mapa final'!$AI$55="Catastrófico"),CONCATENATE("R9C",'Mapa final'!$S$55),"")</f>
        <v/>
      </c>
      <c r="AL14" s="42" t="str">
        <f>IF(AND('Mapa final'!$AG$56="Muy Alta",'Mapa final'!$AI$56="Catastrófico"),CONCATENATE("R9C",'Mapa final'!$S$56),"")</f>
        <v/>
      </c>
      <c r="AM14" s="43" t="str">
        <f>IF(AND('Mapa final'!$AG$57="Muy Alta",'Mapa final'!$AI$57="Catastrófico"),CONCATENATE("R9C",'Mapa final'!$S$57),"")</f>
        <v/>
      </c>
      <c r="AN14" s="70"/>
      <c r="AO14" s="291"/>
      <c r="AP14" s="292"/>
      <c r="AQ14" s="292"/>
      <c r="AR14" s="292"/>
      <c r="AS14" s="292"/>
      <c r="AT14" s="293"/>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183"/>
      <c r="C15" s="183"/>
      <c r="D15" s="184"/>
      <c r="E15" s="286"/>
      <c r="F15" s="287"/>
      <c r="G15" s="287"/>
      <c r="H15" s="287"/>
      <c r="I15" s="301"/>
      <c r="J15" s="45" t="e">
        <f>IF(AND('Mapa final'!#REF!="Muy Alta",'Mapa final'!#REF!="Leve"),CONCATENATE("R10C",'Mapa final'!#REF!),"")</f>
        <v>#REF!</v>
      </c>
      <c r="K15" s="46" t="e">
        <f>IF(AND('Mapa final'!#REF!="Muy Alta",'Mapa final'!#REF!="Leve"),CONCATENATE("R10C",'Mapa final'!#REF!),"")</f>
        <v>#REF!</v>
      </c>
      <c r="L15" s="46" t="e">
        <f>IF(AND('Mapa final'!#REF!="Muy Alta",'Mapa final'!#REF!="Leve"),CONCATENATE("R10C",'Mapa final'!#REF!),"")</f>
        <v>#REF!</v>
      </c>
      <c r="M15" s="46" t="e">
        <f>IF(AND('Mapa final'!#REF!="Muy Alta",'Mapa final'!#REF!="Leve"),CONCATENATE("R10C",'Mapa final'!#REF!),"")</f>
        <v>#REF!</v>
      </c>
      <c r="N15" s="46" t="e">
        <f>IF(AND('Mapa final'!#REF!="Muy Alta",'Mapa final'!#REF!="Leve"),CONCATENATE("R10C",'Mapa final'!#REF!),"")</f>
        <v>#REF!</v>
      </c>
      <c r="O15" s="47" t="e">
        <f>IF(AND('Mapa final'!#REF!="Muy Alta",'Mapa final'!#REF!="Leve"),CONCATENATE("R10C",'Mapa final'!#REF!),"")</f>
        <v>#REF!</v>
      </c>
      <c r="P15" s="38" t="e">
        <f>IF(AND('Mapa final'!#REF!="Muy Alta",'Mapa final'!#REF!="Menor"),CONCATENATE("R10C",'Mapa final'!#REF!),"")</f>
        <v>#REF!</v>
      </c>
      <c r="Q15" s="39" t="e">
        <f>IF(AND('Mapa final'!#REF!="Muy Alta",'Mapa final'!#REF!="Menor"),CONCATENATE("R10C",'Mapa final'!#REF!),"")</f>
        <v>#REF!</v>
      </c>
      <c r="R15" s="39" t="e">
        <f>IF(AND('Mapa final'!#REF!="Muy Alta",'Mapa final'!#REF!="Menor"),CONCATENATE("R10C",'Mapa final'!#REF!),"")</f>
        <v>#REF!</v>
      </c>
      <c r="S15" s="39" t="e">
        <f>IF(AND('Mapa final'!#REF!="Muy Alta",'Mapa final'!#REF!="Menor"),CONCATENATE("R10C",'Mapa final'!#REF!),"")</f>
        <v>#REF!</v>
      </c>
      <c r="T15" s="39" t="e">
        <f>IF(AND('Mapa final'!#REF!="Muy Alta",'Mapa final'!#REF!="Menor"),CONCATENATE("R10C",'Mapa final'!#REF!),"")</f>
        <v>#REF!</v>
      </c>
      <c r="U15" s="40" t="e">
        <f>IF(AND('Mapa final'!#REF!="Muy Alta",'Mapa final'!#REF!="Menor"),CONCATENATE("R10C",'Mapa final'!#REF!),"")</f>
        <v>#REF!</v>
      </c>
      <c r="V15" s="45" t="e">
        <f>IF(AND('Mapa final'!#REF!="Muy Alta",'Mapa final'!#REF!="Moderado"),CONCATENATE("R10C",'Mapa final'!#REF!),"")</f>
        <v>#REF!</v>
      </c>
      <c r="W15" s="46" t="e">
        <f>IF(AND('Mapa final'!#REF!="Muy Alta",'Mapa final'!#REF!="Moderado"),CONCATENATE("R10C",'Mapa final'!#REF!),"")</f>
        <v>#REF!</v>
      </c>
      <c r="X15" s="46" t="e">
        <f>IF(AND('Mapa final'!#REF!="Muy Alta",'Mapa final'!#REF!="Moderado"),CONCATENATE("R10C",'Mapa final'!#REF!),"")</f>
        <v>#REF!</v>
      </c>
      <c r="Y15" s="46" t="e">
        <f>IF(AND('Mapa final'!#REF!="Muy Alta",'Mapa final'!#REF!="Moderado"),CONCATENATE("R10C",'Mapa final'!#REF!),"")</f>
        <v>#REF!</v>
      </c>
      <c r="Z15" s="46" t="e">
        <f>IF(AND('Mapa final'!#REF!="Muy Alta",'Mapa final'!#REF!="Moderado"),CONCATENATE("R10C",'Mapa final'!#REF!),"")</f>
        <v>#REF!</v>
      </c>
      <c r="AA15" s="47" t="e">
        <f>IF(AND('Mapa final'!#REF!="Muy Alta",'Mapa final'!#REF!="Moderado"),CONCATENATE("R10C",'Mapa final'!#REF!),"")</f>
        <v>#REF!</v>
      </c>
      <c r="AB15" s="38" t="e">
        <f>IF(AND('Mapa final'!#REF!="Muy Alta",'Mapa final'!#REF!="Mayor"),CONCATENATE("R10C",'Mapa final'!#REF!),"")</f>
        <v>#REF!</v>
      </c>
      <c r="AC15" s="39" t="e">
        <f>IF(AND('Mapa final'!#REF!="Muy Alta",'Mapa final'!#REF!="Mayor"),CONCATENATE("R10C",'Mapa final'!#REF!),"")</f>
        <v>#REF!</v>
      </c>
      <c r="AD15" s="39" t="e">
        <f>IF(AND('Mapa final'!#REF!="Muy Alta",'Mapa final'!#REF!="Mayor"),CONCATENATE("R10C",'Mapa final'!#REF!),"")</f>
        <v>#REF!</v>
      </c>
      <c r="AE15" s="39" t="e">
        <f>IF(AND('Mapa final'!#REF!="Muy Alta",'Mapa final'!#REF!="Mayor"),CONCATENATE("R10C",'Mapa final'!#REF!),"")</f>
        <v>#REF!</v>
      </c>
      <c r="AF15" s="39" t="e">
        <f>IF(AND('Mapa final'!#REF!="Muy Alta",'Mapa final'!#REF!="Mayor"),CONCATENATE("R10C",'Mapa final'!#REF!),"")</f>
        <v>#REF!</v>
      </c>
      <c r="AG15" s="40" t="e">
        <f>IF(AND('Mapa final'!#REF!="Muy Alta",'Mapa final'!#REF!="Mayor"),CONCATENATE("R10C",'Mapa final'!#REF!),"")</f>
        <v>#REF!</v>
      </c>
      <c r="AH15" s="48" t="e">
        <f>IF(AND('Mapa final'!#REF!="Muy Alta",'Mapa final'!#REF!="Catastrófico"),CONCATENATE("R10C",'Mapa final'!#REF!),"")</f>
        <v>#REF!</v>
      </c>
      <c r="AI15" s="49" t="e">
        <f>IF(AND('Mapa final'!#REF!="Muy Alta",'Mapa final'!#REF!="Catastrófico"),CONCATENATE("R10C",'Mapa final'!#REF!),"")</f>
        <v>#REF!</v>
      </c>
      <c r="AJ15" s="49" t="e">
        <f>IF(AND('Mapa final'!#REF!="Muy Alta",'Mapa final'!#REF!="Catastrófico"),CONCATENATE("R10C",'Mapa final'!#REF!),"")</f>
        <v>#REF!</v>
      </c>
      <c r="AK15" s="49" t="e">
        <f>IF(AND('Mapa final'!#REF!="Muy Alta",'Mapa final'!#REF!="Catastrófico"),CONCATENATE("R10C",'Mapa final'!#REF!),"")</f>
        <v>#REF!</v>
      </c>
      <c r="AL15" s="49" t="e">
        <f>IF(AND('Mapa final'!#REF!="Muy Alta",'Mapa final'!#REF!="Catastrófico"),CONCATENATE("R10C",'Mapa final'!#REF!),"")</f>
        <v>#REF!</v>
      </c>
      <c r="AM15" s="50" t="e">
        <f>IF(AND('Mapa final'!#REF!="Muy Alta",'Mapa final'!#REF!="Catastrófico"),CONCATENATE("R10C",'Mapa final'!#REF!),"")</f>
        <v>#REF!</v>
      </c>
      <c r="AN15" s="70"/>
      <c r="AO15" s="294"/>
      <c r="AP15" s="295"/>
      <c r="AQ15" s="295"/>
      <c r="AR15" s="295"/>
      <c r="AS15" s="295"/>
      <c r="AT15" s="296"/>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183"/>
      <c r="C16" s="183"/>
      <c r="D16" s="184"/>
      <c r="E16" s="280" t="s">
        <v>113</v>
      </c>
      <c r="F16" s="281"/>
      <c r="G16" s="281"/>
      <c r="H16" s="281"/>
      <c r="I16" s="281"/>
      <c r="J16" s="51" t="str">
        <f ca="1">IF(AND('Mapa final'!$AG$4="Alta",'Mapa final'!$AI$4="Leve"),CONCATENATE("R1C",'Mapa final'!$S$4),"")</f>
        <v/>
      </c>
      <c r="K16" s="52" t="str">
        <f>IF(AND('Mapa final'!$AG$5="Alta",'Mapa final'!$AI$5="Leve"),CONCATENATE("R1C",'Mapa final'!$S$5),"")</f>
        <v/>
      </c>
      <c r="L16" s="52" t="str">
        <f>IF(AND('Mapa final'!$AG$6="Alta",'Mapa final'!$AI$6="Leve"),CONCATENATE("R1C",'Mapa final'!$S$6),"")</f>
        <v/>
      </c>
      <c r="M16" s="52" t="str">
        <f>IF(AND('Mapa final'!$AG$7="Alta",'Mapa final'!$AI$7="Leve"),CONCATENATE("R1C",'Mapa final'!$S$7),"")</f>
        <v/>
      </c>
      <c r="N16" s="52" t="str">
        <f>IF(AND('Mapa final'!$AG$8="Alta",'Mapa final'!$AI$8="Leve"),CONCATENATE("R1C",'Mapa final'!$S$8),"")</f>
        <v/>
      </c>
      <c r="O16" s="53" t="str">
        <f>IF(AND('Mapa final'!$AG$9="Alta",'Mapa final'!$AI$9="Leve"),CONCATENATE("R1C",'Mapa final'!$S$9),"")</f>
        <v/>
      </c>
      <c r="P16" s="51" t="str">
        <f ca="1">IF(AND('Mapa final'!$AG$4="Alta",'Mapa final'!$AI$4="Menor"),CONCATENATE("R1C",'Mapa final'!$S$4),"")</f>
        <v/>
      </c>
      <c r="Q16" s="52" t="str">
        <f>IF(AND('Mapa final'!$AG$5="Alta",'Mapa final'!$AI$5="Menor"),CONCATENATE("R1C",'Mapa final'!$S$5),"")</f>
        <v/>
      </c>
      <c r="R16" s="52" t="str">
        <f>IF(AND('Mapa final'!$AG$6="Alta",'Mapa final'!$AI$6="Menor"),CONCATENATE("R1C",'Mapa final'!$S$6),"")</f>
        <v/>
      </c>
      <c r="S16" s="52" t="str">
        <f>IF(AND('Mapa final'!$AG$7="Alta",'Mapa final'!$AI$7="Menor"),CONCATENATE("R1C",'Mapa final'!$S$7),"")</f>
        <v/>
      </c>
      <c r="T16" s="52" t="str">
        <f>IF(AND('Mapa final'!$AG$8="Alta",'Mapa final'!$AI$8="Menor"),CONCATENATE("R1C",'Mapa final'!$S$8),"")</f>
        <v/>
      </c>
      <c r="U16" s="53" t="str">
        <f>IF(AND('Mapa final'!$AG$9="Alta",'Mapa final'!$AI$9="Menor"),CONCATENATE("R1C",'Mapa final'!$S$9),"")</f>
        <v/>
      </c>
      <c r="V16" s="32" t="str">
        <f ca="1">IF(AND('Mapa final'!$AG$4="Alta",'Mapa final'!$AI$4="Moderado"),CONCATENATE("R1C",'Mapa final'!$S$4),"")</f>
        <v/>
      </c>
      <c r="W16" s="33" t="str">
        <f>IF(AND('Mapa final'!$AG$5="Alta",'Mapa final'!$AI$5="Moderado"),CONCATENATE("R1C",'Mapa final'!$S$5),"")</f>
        <v/>
      </c>
      <c r="X16" s="33" t="str">
        <f>IF(AND('Mapa final'!$AG$6="Alta",'Mapa final'!$AI$6="Moderado"),CONCATENATE("R1C",'Mapa final'!$S$6),"")</f>
        <v/>
      </c>
      <c r="Y16" s="33" t="str">
        <f>IF(AND('Mapa final'!$AG$7="Alta",'Mapa final'!$AI$7="Moderado"),CONCATENATE("R1C",'Mapa final'!$S$7),"")</f>
        <v/>
      </c>
      <c r="Z16" s="33" t="str">
        <f>IF(AND('Mapa final'!$AG$8="Alta",'Mapa final'!$AI$8="Moderado"),CONCATENATE("R1C",'Mapa final'!$S$8),"")</f>
        <v/>
      </c>
      <c r="AA16" s="34" t="str">
        <f>IF(AND('Mapa final'!$AG$9="Alta",'Mapa final'!$AI$9="Moderado"),CONCATENATE("R1C",'Mapa final'!$S$9),"")</f>
        <v/>
      </c>
      <c r="AB16" s="32" t="str">
        <f ca="1">IF(AND('Mapa final'!$AG$4="Alta",'Mapa final'!$AI$4="Mayor"),CONCATENATE("R1C",'Mapa final'!$S$4),"")</f>
        <v/>
      </c>
      <c r="AC16" s="33" t="str">
        <f>IF(AND('Mapa final'!$AG$5="Alta",'Mapa final'!$AI$5="Mayor"),CONCATENATE("R1C",'Mapa final'!$S$5),"")</f>
        <v/>
      </c>
      <c r="AD16" s="33" t="str">
        <f>IF(AND('Mapa final'!$AG$6="Alta",'Mapa final'!$AI$6="Mayor"),CONCATENATE("R1C",'Mapa final'!$S$6),"")</f>
        <v/>
      </c>
      <c r="AE16" s="33" t="str">
        <f>IF(AND('Mapa final'!$AG$7="Alta",'Mapa final'!$AI$7="Mayor"),CONCATENATE("R1C",'Mapa final'!$S$7),"")</f>
        <v/>
      </c>
      <c r="AF16" s="33" t="str">
        <f>IF(AND('Mapa final'!$AG$8="Alta",'Mapa final'!$AI$8="Mayor"),CONCATENATE("R1C",'Mapa final'!$S$8),"")</f>
        <v/>
      </c>
      <c r="AG16" s="34" t="str">
        <f>IF(AND('Mapa final'!$AG$9="Alta",'Mapa final'!$AI$9="Mayor"),CONCATENATE("R1C",'Mapa final'!$S$9),"")</f>
        <v/>
      </c>
      <c r="AH16" s="35" t="str">
        <f ca="1">IF(AND('Mapa final'!$AG$4="Alta",'Mapa final'!$AI$4="Catastrófico"),CONCATENATE("R1C",'Mapa final'!$S$4),"")</f>
        <v/>
      </c>
      <c r="AI16" s="36" t="str">
        <f>IF(AND('Mapa final'!$AG$5="Alta",'Mapa final'!$AI$5="Catastrófico"),CONCATENATE("R1C",'Mapa final'!$S$5),"")</f>
        <v/>
      </c>
      <c r="AJ16" s="36" t="str">
        <f>IF(AND('Mapa final'!$AG$6="Alta",'Mapa final'!$AI$6="Catastrófico"),CONCATENATE("R1C",'Mapa final'!$S$6),"")</f>
        <v/>
      </c>
      <c r="AK16" s="36" t="str">
        <f>IF(AND('Mapa final'!$AG$7="Alta",'Mapa final'!$AI$7="Catastrófico"),CONCATENATE("R1C",'Mapa final'!$S$7),"")</f>
        <v/>
      </c>
      <c r="AL16" s="36" t="str">
        <f>IF(AND('Mapa final'!$AG$8="Alta",'Mapa final'!$AI$8="Catastrófico"),CONCATENATE("R1C",'Mapa final'!$S$8),"")</f>
        <v/>
      </c>
      <c r="AM16" s="37" t="str">
        <f>IF(AND('Mapa final'!$AG$9="Alta",'Mapa final'!$AI$9="Catastrófico"),CONCATENATE("R1C",'Mapa final'!$S$9),"")</f>
        <v/>
      </c>
      <c r="AN16" s="70"/>
      <c r="AO16" s="271" t="s">
        <v>78</v>
      </c>
      <c r="AP16" s="272"/>
      <c r="AQ16" s="272"/>
      <c r="AR16" s="272"/>
      <c r="AS16" s="272"/>
      <c r="AT16" s="273"/>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183"/>
      <c r="C17" s="183"/>
      <c r="D17" s="184"/>
      <c r="E17" s="282"/>
      <c r="F17" s="283"/>
      <c r="G17" s="283"/>
      <c r="H17" s="283"/>
      <c r="I17" s="283"/>
      <c r="J17" s="54" t="str">
        <f ca="1">IF(AND('Mapa final'!$AG$10="Alta",'Mapa final'!$AI$10="Leve"),CONCATENATE("R2C",'Mapa final'!$S$10),"")</f>
        <v/>
      </c>
      <c r="K17" s="55" t="str">
        <f ca="1">IF(AND('Mapa final'!$AG$11="Alta",'Mapa final'!$AI$11="Leve"),CONCATENATE("R2C",'Mapa final'!$S$11),"")</f>
        <v/>
      </c>
      <c r="L17" s="55" t="str">
        <f>IF(AND('Mapa final'!$AG$12="Alta",'Mapa final'!$AI$12="Leve"),CONCATENATE("R2C",'Mapa final'!$S$12),"")</f>
        <v/>
      </c>
      <c r="M17" s="55" t="str">
        <f>IF(AND('Mapa final'!$AG$13="Alta",'Mapa final'!$AI$13="Leve"),CONCATENATE("R2C",'Mapa final'!$S$13),"")</f>
        <v/>
      </c>
      <c r="N17" s="55" t="str">
        <f>IF(AND('Mapa final'!$AG$14="Alta",'Mapa final'!$AI$14="Leve"),CONCATENATE("R2C",'Mapa final'!$S$14),"")</f>
        <v/>
      </c>
      <c r="O17" s="56" t="str">
        <f>IF(AND('Mapa final'!$AG$15="Alta",'Mapa final'!$AI$15="Leve"),CONCATENATE("R2C",'Mapa final'!$S$15),"")</f>
        <v/>
      </c>
      <c r="P17" s="54" t="str">
        <f ca="1">IF(AND('Mapa final'!$AG$10="Alta",'Mapa final'!$AI$10="Menor"),CONCATENATE("R2C",'Mapa final'!$S$10),"")</f>
        <v/>
      </c>
      <c r="Q17" s="55" t="str">
        <f ca="1">IF(AND('Mapa final'!$AG$11="Alta",'Mapa final'!$AI$11="Menor"),CONCATENATE("R2C",'Mapa final'!$S$11),"")</f>
        <v/>
      </c>
      <c r="R17" s="55" t="str">
        <f>IF(AND('Mapa final'!$AG$12="Alta",'Mapa final'!$AI$12="Menor"),CONCATENATE("R2C",'Mapa final'!$S$12),"")</f>
        <v/>
      </c>
      <c r="S17" s="55" t="str">
        <f>IF(AND('Mapa final'!$AG$13="Alta",'Mapa final'!$AI$13="Menor"),CONCATENATE("R2C",'Mapa final'!$S$13),"")</f>
        <v/>
      </c>
      <c r="T17" s="55" t="str">
        <f>IF(AND('Mapa final'!$AG$14="Alta",'Mapa final'!$AI$14="Menor"),CONCATENATE("R2C",'Mapa final'!$S$14),"")</f>
        <v/>
      </c>
      <c r="U17" s="56" t="str">
        <f>IF(AND('Mapa final'!$AG$15="Alta",'Mapa final'!$AI$15="Menor"),CONCATENATE("R2C",'Mapa final'!$S$15),"")</f>
        <v/>
      </c>
      <c r="V17" s="38" t="str">
        <f ca="1">IF(AND('Mapa final'!$AG$10="Alta",'Mapa final'!$AI$10="Moderado"),CONCATENATE("R2C",'Mapa final'!$S$10),"")</f>
        <v/>
      </c>
      <c r="W17" s="39" t="str">
        <f ca="1">IF(AND('Mapa final'!$AG$11="Alta",'Mapa final'!$AI$11="Moderado"),CONCATENATE("R2C",'Mapa final'!$S$11),"")</f>
        <v/>
      </c>
      <c r="X17" s="39" t="str">
        <f>IF(AND('Mapa final'!$AG$12="Alta",'Mapa final'!$AI$12="Moderado"),CONCATENATE("R2C",'Mapa final'!$S$12),"")</f>
        <v/>
      </c>
      <c r="Y17" s="39" t="str">
        <f>IF(AND('Mapa final'!$AG$13="Alta",'Mapa final'!$AI$13="Moderado"),CONCATENATE("R2C",'Mapa final'!$S$13),"")</f>
        <v/>
      </c>
      <c r="Z17" s="39" t="str">
        <f>IF(AND('Mapa final'!$AG$14="Alta",'Mapa final'!$AI$14="Moderado"),CONCATENATE("R2C",'Mapa final'!$S$14),"")</f>
        <v/>
      </c>
      <c r="AA17" s="40" t="str">
        <f>IF(AND('Mapa final'!$AG$15="Alta",'Mapa final'!$AI$15="Moderado"),CONCATENATE("R2C",'Mapa final'!$S$15),"")</f>
        <v/>
      </c>
      <c r="AB17" s="38" t="str">
        <f ca="1">IF(AND('Mapa final'!$AG$10="Alta",'Mapa final'!$AI$10="Mayor"),CONCATENATE("R2C",'Mapa final'!$S$10),"")</f>
        <v/>
      </c>
      <c r="AC17" s="39" t="str">
        <f ca="1">IF(AND('Mapa final'!$AG$11="Alta",'Mapa final'!$AI$11="Mayor"),CONCATENATE("R2C",'Mapa final'!$S$11),"")</f>
        <v/>
      </c>
      <c r="AD17" s="39" t="str">
        <f>IF(AND('Mapa final'!$AG$12="Alta",'Mapa final'!$AI$12="Mayor"),CONCATENATE("R2C",'Mapa final'!$S$12),"")</f>
        <v/>
      </c>
      <c r="AE17" s="39" t="str">
        <f>IF(AND('Mapa final'!$AG$13="Alta",'Mapa final'!$AI$13="Mayor"),CONCATENATE("R2C",'Mapa final'!$S$13),"")</f>
        <v/>
      </c>
      <c r="AF17" s="39" t="str">
        <f>IF(AND('Mapa final'!$AG$14="Alta",'Mapa final'!$AI$14="Mayor"),CONCATENATE("R2C",'Mapa final'!$S$14),"")</f>
        <v/>
      </c>
      <c r="AG17" s="40" t="str">
        <f>IF(AND('Mapa final'!$AG$15="Alta",'Mapa final'!$AI$15="Mayor"),CONCATENATE("R2C",'Mapa final'!$S$15),"")</f>
        <v/>
      </c>
      <c r="AH17" s="41" t="str">
        <f ca="1">IF(AND('Mapa final'!$AG$10="Alta",'Mapa final'!$AI$10="Catastrófico"),CONCATENATE("R2C",'Mapa final'!$S$10),"")</f>
        <v/>
      </c>
      <c r="AI17" s="42" t="str">
        <f ca="1">IF(AND('Mapa final'!$AG$11="Alta",'Mapa final'!$AI$11="Catastrófico"),CONCATENATE("R2C",'Mapa final'!$S$11),"")</f>
        <v/>
      </c>
      <c r="AJ17" s="42" t="str">
        <f>IF(AND('Mapa final'!$AG$12="Alta",'Mapa final'!$AI$12="Catastrófico"),CONCATENATE("R2C",'Mapa final'!$S$12),"")</f>
        <v/>
      </c>
      <c r="AK17" s="42" t="str">
        <f>IF(AND('Mapa final'!$AG$13="Alta",'Mapa final'!$AI$13="Catastrófico"),CONCATENATE("R2C",'Mapa final'!$S$13),"")</f>
        <v/>
      </c>
      <c r="AL17" s="42" t="str">
        <f>IF(AND('Mapa final'!$AG$14="Alta",'Mapa final'!$AI$14="Catastrófico"),CONCATENATE("R2C",'Mapa final'!$S$14),"")</f>
        <v/>
      </c>
      <c r="AM17" s="43" t="str">
        <f>IF(AND('Mapa final'!$AG$15="Alta",'Mapa final'!$AI$15="Catastrófico"),CONCATENATE("R2C",'Mapa final'!$S$15),"")</f>
        <v/>
      </c>
      <c r="AN17" s="70"/>
      <c r="AO17" s="274"/>
      <c r="AP17" s="275"/>
      <c r="AQ17" s="275"/>
      <c r="AR17" s="275"/>
      <c r="AS17" s="275"/>
      <c r="AT17" s="276"/>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183"/>
      <c r="C18" s="183"/>
      <c r="D18" s="184"/>
      <c r="E18" s="284"/>
      <c r="F18" s="285"/>
      <c r="G18" s="285"/>
      <c r="H18" s="285"/>
      <c r="I18" s="283"/>
      <c r="J18" s="54" t="str">
        <f ca="1">IF(AND('Mapa final'!$AG$16="Alta",'Mapa final'!$AI$16="Leve"),CONCATENATE("R3C",'Mapa final'!$S$16),"")</f>
        <v/>
      </c>
      <c r="K18" s="55" t="str">
        <f ca="1">IF(AND('Mapa final'!$AG$17="Alta",'Mapa final'!$AI$17="Leve"),CONCATENATE("R3C",'Mapa final'!$S$17),"")</f>
        <v/>
      </c>
      <c r="L18" s="55" t="str">
        <f>IF(AND('Mapa final'!$AG$18="Alta",'Mapa final'!$AI$18="Leve"),CONCATENATE("R3C",'Mapa final'!$S$18),"")</f>
        <v/>
      </c>
      <c r="M18" s="55" t="str">
        <f>IF(AND('Mapa final'!$AG$19="Alta",'Mapa final'!$AI$19="Leve"),CONCATENATE("R3C",'Mapa final'!$S$19),"")</f>
        <v/>
      </c>
      <c r="N18" s="55" t="str">
        <f>IF(AND('Mapa final'!$AG$20="Alta",'Mapa final'!$AI$20="Leve"),CONCATENATE("R3C",'Mapa final'!$S$20),"")</f>
        <v/>
      </c>
      <c r="O18" s="56" t="str">
        <f>IF(AND('Mapa final'!$AG$21="Alta",'Mapa final'!$AI$21="Leve"),CONCATENATE("R3C",'Mapa final'!$S$21),"")</f>
        <v/>
      </c>
      <c r="P18" s="54" t="str">
        <f ca="1">IF(AND('Mapa final'!$AG$16="Alta",'Mapa final'!$AI$16="Menor"),CONCATENATE("R3C",'Mapa final'!$S$16),"")</f>
        <v/>
      </c>
      <c r="Q18" s="55" t="str">
        <f ca="1">IF(AND('Mapa final'!$AG$17="Alta",'Mapa final'!$AI$17="Menor"),CONCATENATE("R3C",'Mapa final'!$S$17),"")</f>
        <v/>
      </c>
      <c r="R18" s="55" t="str">
        <f>IF(AND('Mapa final'!$AG$18="Alta",'Mapa final'!$AI$18="Menor"),CONCATENATE("R3C",'Mapa final'!$S$18),"")</f>
        <v/>
      </c>
      <c r="S18" s="55" t="str">
        <f>IF(AND('Mapa final'!$AG$19="Alta",'Mapa final'!$AI$19="Menor"),CONCATENATE("R3C",'Mapa final'!$S$19),"")</f>
        <v/>
      </c>
      <c r="T18" s="55" t="str">
        <f>IF(AND('Mapa final'!$AG$20="Alta",'Mapa final'!$AI$20="Menor"),CONCATENATE("R3C",'Mapa final'!$S$20),"")</f>
        <v/>
      </c>
      <c r="U18" s="56" t="str">
        <f>IF(AND('Mapa final'!$AG$21="Alta",'Mapa final'!$AI$21="Menor"),CONCATENATE("R3C",'Mapa final'!$S$21),"")</f>
        <v/>
      </c>
      <c r="V18" s="38" t="str">
        <f ca="1">IF(AND('Mapa final'!$AG$16="Alta",'Mapa final'!$AI$16="Moderado"),CONCATENATE("R3C",'Mapa final'!$S$16),"")</f>
        <v/>
      </c>
      <c r="W18" s="39" t="str">
        <f ca="1">IF(AND('Mapa final'!$AG$17="Alta",'Mapa final'!$AI$17="Moderado"),CONCATENATE("R3C",'Mapa final'!$S$17),"")</f>
        <v/>
      </c>
      <c r="X18" s="39" t="str">
        <f>IF(AND('Mapa final'!$AG$18="Alta",'Mapa final'!$AI$18="Moderado"),CONCATENATE("R3C",'Mapa final'!$S$18),"")</f>
        <v/>
      </c>
      <c r="Y18" s="39" t="str">
        <f>IF(AND('Mapa final'!$AG$19="Alta",'Mapa final'!$AI$19="Moderado"),CONCATENATE("R3C",'Mapa final'!$S$19),"")</f>
        <v/>
      </c>
      <c r="Z18" s="39" t="str">
        <f>IF(AND('Mapa final'!$AG$20="Alta",'Mapa final'!$AI$20="Moderado"),CONCATENATE("R3C",'Mapa final'!$S$20),"")</f>
        <v/>
      </c>
      <c r="AA18" s="40" t="str">
        <f>IF(AND('Mapa final'!$AG$21="Alta",'Mapa final'!$AI$21="Moderado"),CONCATENATE("R3C",'Mapa final'!$S$21),"")</f>
        <v/>
      </c>
      <c r="AB18" s="38" t="str">
        <f ca="1">IF(AND('Mapa final'!$AG$16="Alta",'Mapa final'!$AI$16="Mayor"),CONCATENATE("R3C",'Mapa final'!$S$16),"")</f>
        <v/>
      </c>
      <c r="AC18" s="39" t="str">
        <f ca="1">IF(AND('Mapa final'!$AG$17="Alta",'Mapa final'!$AI$17="Mayor"),CONCATENATE("R3C",'Mapa final'!$S$17),"")</f>
        <v/>
      </c>
      <c r="AD18" s="39" t="str">
        <f>IF(AND('Mapa final'!$AG$18="Alta",'Mapa final'!$AI$18="Mayor"),CONCATENATE("R3C",'Mapa final'!$S$18),"")</f>
        <v/>
      </c>
      <c r="AE18" s="39" t="str">
        <f>IF(AND('Mapa final'!$AG$19="Alta",'Mapa final'!$AI$19="Mayor"),CONCATENATE("R3C",'Mapa final'!$S$19),"")</f>
        <v/>
      </c>
      <c r="AF18" s="39" t="str">
        <f>IF(AND('Mapa final'!$AG$20="Alta",'Mapa final'!$AI$20="Mayor"),CONCATENATE("R3C",'Mapa final'!$S$20),"")</f>
        <v/>
      </c>
      <c r="AG18" s="40" t="str">
        <f>IF(AND('Mapa final'!$AG$21="Alta",'Mapa final'!$AI$21="Mayor"),CONCATENATE("R3C",'Mapa final'!$S$21),"")</f>
        <v/>
      </c>
      <c r="AH18" s="41" t="str">
        <f ca="1">IF(AND('Mapa final'!$AG$16="Alta",'Mapa final'!$AI$16="Catastrófico"),CONCATENATE("R3C",'Mapa final'!$S$16),"")</f>
        <v/>
      </c>
      <c r="AI18" s="42" t="str">
        <f ca="1">IF(AND('Mapa final'!$AG$17="Alta",'Mapa final'!$AI$17="Catastrófico"),CONCATENATE("R3C",'Mapa final'!$S$17),"")</f>
        <v/>
      </c>
      <c r="AJ18" s="42" t="str">
        <f>IF(AND('Mapa final'!$AG$18="Alta",'Mapa final'!$AI$18="Catastrófico"),CONCATENATE("R3C",'Mapa final'!$S$18),"")</f>
        <v/>
      </c>
      <c r="AK18" s="42" t="str">
        <f>IF(AND('Mapa final'!$AG$19="Alta",'Mapa final'!$AI$19="Catastrófico"),CONCATENATE("R3C",'Mapa final'!$S$19),"")</f>
        <v/>
      </c>
      <c r="AL18" s="42" t="str">
        <f>IF(AND('Mapa final'!$AG$20="Alta",'Mapa final'!$AI$20="Catastrófico"),CONCATENATE("R3C",'Mapa final'!$S$20),"")</f>
        <v/>
      </c>
      <c r="AM18" s="43" t="str">
        <f>IF(AND('Mapa final'!$AG$21="Alta",'Mapa final'!$AI$21="Catastrófico"),CONCATENATE("R3C",'Mapa final'!$S$21),"")</f>
        <v/>
      </c>
      <c r="AN18" s="70"/>
      <c r="AO18" s="274"/>
      <c r="AP18" s="275"/>
      <c r="AQ18" s="275"/>
      <c r="AR18" s="275"/>
      <c r="AS18" s="275"/>
      <c r="AT18" s="276"/>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183"/>
      <c r="C19" s="183"/>
      <c r="D19" s="184"/>
      <c r="E19" s="284"/>
      <c r="F19" s="285"/>
      <c r="G19" s="285"/>
      <c r="H19" s="285"/>
      <c r="I19" s="283"/>
      <c r="J19" s="54" t="str">
        <f ca="1">IF(AND('Mapa final'!$AG$22="Alta",'Mapa final'!$AI$22="Leve"),CONCATENATE("R4C",'Mapa final'!$S$22),"")</f>
        <v/>
      </c>
      <c r="K19" s="55" t="str">
        <f ca="1">IF(AND('Mapa final'!$AG$23="Alta",'Mapa final'!$AI$23="Leve"),CONCATENATE("R4C",'Mapa final'!$S$23),"")</f>
        <v/>
      </c>
      <c r="L19" s="55" t="str">
        <f ca="1">IF(AND('Mapa final'!$AG$24="Alta",'Mapa final'!$AI$24="Leve"),CONCATENATE("R4C",'Mapa final'!$S$24),"")</f>
        <v/>
      </c>
      <c r="M19" s="55" t="str">
        <f>IF(AND('Mapa final'!$AG$25="Alta",'Mapa final'!$AI$25="Leve"),CONCATENATE("R4C",'Mapa final'!$S$25),"")</f>
        <v/>
      </c>
      <c r="N19" s="55" t="str">
        <f>IF(AND('Mapa final'!$AG$26="Alta",'Mapa final'!$AI$26="Leve"),CONCATENATE("R4C",'Mapa final'!$S$26),"")</f>
        <v/>
      </c>
      <c r="O19" s="56" t="str">
        <f>IF(AND('Mapa final'!$AG$27="Alta",'Mapa final'!$AI$27="Leve"),CONCATENATE("R4C",'Mapa final'!$S$27),"")</f>
        <v/>
      </c>
      <c r="P19" s="54" t="str">
        <f ca="1">IF(AND('Mapa final'!$AG$22="Alta",'Mapa final'!$AI$22="Menor"),CONCATENATE("R4C",'Mapa final'!$S$22),"")</f>
        <v/>
      </c>
      <c r="Q19" s="55" t="str">
        <f ca="1">IF(AND('Mapa final'!$AG$23="Alta",'Mapa final'!$AI$23="Menor"),CONCATENATE("R4C",'Mapa final'!$S$23),"")</f>
        <v/>
      </c>
      <c r="R19" s="55" t="str">
        <f ca="1">IF(AND('Mapa final'!$AG$24="Alta",'Mapa final'!$AI$24="Menor"),CONCATENATE("R4C",'Mapa final'!$S$24),"")</f>
        <v/>
      </c>
      <c r="S19" s="55" t="str">
        <f>IF(AND('Mapa final'!$AG$25="Alta",'Mapa final'!$AI$25="Menor"),CONCATENATE("R4C",'Mapa final'!$S$25),"")</f>
        <v/>
      </c>
      <c r="T19" s="55" t="str">
        <f>IF(AND('Mapa final'!$AG$26="Alta",'Mapa final'!$AI$26="Menor"),CONCATENATE("R4C",'Mapa final'!$S$26),"")</f>
        <v/>
      </c>
      <c r="U19" s="56" t="str">
        <f>IF(AND('Mapa final'!$AG$27="Alta",'Mapa final'!$AI$27="Menor"),CONCATENATE("R4C",'Mapa final'!$S$27),"")</f>
        <v/>
      </c>
      <c r="V19" s="38" t="str">
        <f ca="1">IF(AND('Mapa final'!$AG$22="Alta",'Mapa final'!$AI$22="Moderado"),CONCATENATE("R4C",'Mapa final'!$S$22),"")</f>
        <v/>
      </c>
      <c r="W19" s="39" t="str">
        <f ca="1">IF(AND('Mapa final'!$AG$23="Alta",'Mapa final'!$AI$23="Moderado"),CONCATENATE("R4C",'Mapa final'!$S$23),"")</f>
        <v/>
      </c>
      <c r="X19" s="44" t="str">
        <f ca="1">IF(AND('Mapa final'!$AG$24="Alta",'Mapa final'!$AI$24="Moderado"),CONCATENATE("R4C",'Mapa final'!$S$24),"")</f>
        <v/>
      </c>
      <c r="Y19" s="44" t="str">
        <f>IF(AND('Mapa final'!$AG$25="Alta",'Mapa final'!$AI$25="Moderado"),CONCATENATE("R4C",'Mapa final'!$S$25),"")</f>
        <v/>
      </c>
      <c r="Z19" s="44" t="str">
        <f>IF(AND('Mapa final'!$AG$26="Alta",'Mapa final'!$AI$26="Moderado"),CONCATENATE("R4C",'Mapa final'!$S$26),"")</f>
        <v/>
      </c>
      <c r="AA19" s="40" t="str">
        <f>IF(AND('Mapa final'!$AG$27="Alta",'Mapa final'!$AI$27="Moderado"),CONCATENATE("R4C",'Mapa final'!$S$27),"")</f>
        <v/>
      </c>
      <c r="AB19" s="38" t="str">
        <f ca="1">IF(AND('Mapa final'!$AG$22="Alta",'Mapa final'!$AI$22="Mayor"),CONCATENATE("R4C",'Mapa final'!$S$22),"")</f>
        <v/>
      </c>
      <c r="AC19" s="39" t="str">
        <f ca="1">IF(AND('Mapa final'!$AG$23="Alta",'Mapa final'!$AI$23="Mayor"),CONCATENATE("R4C",'Mapa final'!$S$23),"")</f>
        <v/>
      </c>
      <c r="AD19" s="44" t="str">
        <f ca="1">IF(AND('Mapa final'!$AG$24="Alta",'Mapa final'!$AI$24="Mayor"),CONCATENATE("R4C",'Mapa final'!$S$24),"")</f>
        <v/>
      </c>
      <c r="AE19" s="44" t="str">
        <f>IF(AND('Mapa final'!$AG$25="Alta",'Mapa final'!$AI$25="Mayor"),CONCATENATE("R4C",'Mapa final'!$S$25),"")</f>
        <v/>
      </c>
      <c r="AF19" s="44" t="str">
        <f>IF(AND('Mapa final'!$AG$26="Alta",'Mapa final'!$AI$26="Mayor"),CONCATENATE("R4C",'Mapa final'!$S$26),"")</f>
        <v/>
      </c>
      <c r="AG19" s="40" t="str">
        <f>IF(AND('Mapa final'!$AG$27="Alta",'Mapa final'!$AI$27="Mayor"),CONCATENATE("R4C",'Mapa final'!$S$27),"")</f>
        <v/>
      </c>
      <c r="AH19" s="41" t="str">
        <f ca="1">IF(AND('Mapa final'!$AG$22="Alta",'Mapa final'!$AI$22="Catastrófico"),CONCATENATE("R4C",'Mapa final'!$S$22),"")</f>
        <v/>
      </c>
      <c r="AI19" s="42" t="str">
        <f ca="1">IF(AND('Mapa final'!$AG$23="Alta",'Mapa final'!$AI$23="Catastrófico"),CONCATENATE("R4C",'Mapa final'!$S$23),"")</f>
        <v/>
      </c>
      <c r="AJ19" s="42" t="str">
        <f ca="1">IF(AND('Mapa final'!$AG$24="Alta",'Mapa final'!$AI$24="Catastrófico"),CONCATENATE("R4C",'Mapa final'!$S$24),"")</f>
        <v/>
      </c>
      <c r="AK19" s="42" t="str">
        <f>IF(AND('Mapa final'!$AG$25="Alta",'Mapa final'!$AI$25="Catastrófico"),CONCATENATE("R4C",'Mapa final'!$S$25),"")</f>
        <v/>
      </c>
      <c r="AL19" s="42" t="str">
        <f>IF(AND('Mapa final'!$AG$26="Alta",'Mapa final'!$AI$26="Catastrófico"),CONCATENATE("R4C",'Mapa final'!$S$26),"")</f>
        <v/>
      </c>
      <c r="AM19" s="43" t="str">
        <f>IF(AND('Mapa final'!$AG$27="Alta",'Mapa final'!$AI$27="Catastrófico"),CONCATENATE("R4C",'Mapa final'!$S$27),"")</f>
        <v/>
      </c>
      <c r="AN19" s="70"/>
      <c r="AO19" s="274"/>
      <c r="AP19" s="275"/>
      <c r="AQ19" s="275"/>
      <c r="AR19" s="275"/>
      <c r="AS19" s="275"/>
      <c r="AT19" s="276"/>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183"/>
      <c r="C20" s="183"/>
      <c r="D20" s="184"/>
      <c r="E20" s="284"/>
      <c r="F20" s="285"/>
      <c r="G20" s="285"/>
      <c r="H20" s="285"/>
      <c r="I20" s="283"/>
      <c r="J20" s="54" t="str">
        <f ca="1">IF(AND('Mapa final'!$AG$28="Alta",'Mapa final'!$AI$28="Leve"),CONCATENATE("R5C",'Mapa final'!$S$28),"")</f>
        <v/>
      </c>
      <c r="K20" s="55" t="str">
        <f ca="1">IF(AND('Mapa final'!$AG$29="Alta",'Mapa final'!$AI$29="Leve"),CONCATENATE("R5C",'Mapa final'!$S$29),"")</f>
        <v/>
      </c>
      <c r="L20" s="55" t="str">
        <f>IF(AND('Mapa final'!$AG$30="Alta",'Mapa final'!$AI$30="Leve"),CONCATENATE("R5C",'Mapa final'!$S$30),"")</f>
        <v/>
      </c>
      <c r="M20" s="55" t="str">
        <f>IF(AND('Mapa final'!$AG$31="Alta",'Mapa final'!$AI$31="Leve"),CONCATENATE("R5C",'Mapa final'!$S$31),"")</f>
        <v/>
      </c>
      <c r="N20" s="55" t="str">
        <f>IF(AND('Mapa final'!$AG$32="Alta",'Mapa final'!$AI$32="Leve"),CONCATENATE("R5C",'Mapa final'!$S$32),"")</f>
        <v/>
      </c>
      <c r="O20" s="56" t="str">
        <f>IF(AND('Mapa final'!$AG$33="Alta",'Mapa final'!$AI$33="Leve"),CONCATENATE("R5C",'Mapa final'!$S$33),"")</f>
        <v/>
      </c>
      <c r="P20" s="54" t="str">
        <f ca="1">IF(AND('Mapa final'!$AG$28="Alta",'Mapa final'!$AI$28="Menor"),CONCATENATE("R5C",'Mapa final'!$S$28),"")</f>
        <v/>
      </c>
      <c r="Q20" s="55" t="str">
        <f ca="1">IF(AND('Mapa final'!$AG$29="Alta",'Mapa final'!$AI$29="Menor"),CONCATENATE("R5C",'Mapa final'!$S$29),"")</f>
        <v/>
      </c>
      <c r="R20" s="55" t="str">
        <f>IF(AND('Mapa final'!$AG$30="Alta",'Mapa final'!$AI$30="Menor"),CONCATENATE("R5C",'Mapa final'!$S$30),"")</f>
        <v/>
      </c>
      <c r="S20" s="55" t="str">
        <f>IF(AND('Mapa final'!$AG$31="Alta",'Mapa final'!$AI$31="Menor"),CONCATENATE("R5C",'Mapa final'!$S$31),"")</f>
        <v/>
      </c>
      <c r="T20" s="55" t="str">
        <f>IF(AND('Mapa final'!$AG$32="Alta",'Mapa final'!$AI$32="Menor"),CONCATENATE("R5C",'Mapa final'!$S$32),"")</f>
        <v/>
      </c>
      <c r="U20" s="56" t="str">
        <f>IF(AND('Mapa final'!$AG$33="Alta",'Mapa final'!$AI$33="Menor"),CONCATENATE("R5C",'Mapa final'!$S$33),"")</f>
        <v/>
      </c>
      <c r="V20" s="38" t="str">
        <f ca="1">IF(AND('Mapa final'!$AG$28="Alta",'Mapa final'!$AI$28="Moderado"),CONCATENATE("R5C",'Mapa final'!$S$28),"")</f>
        <v/>
      </c>
      <c r="W20" s="39" t="str">
        <f ca="1">IF(AND('Mapa final'!$AG$29="Alta",'Mapa final'!$AI$29="Moderado"),CONCATENATE("R5C",'Mapa final'!$S$29),"")</f>
        <v/>
      </c>
      <c r="X20" s="44" t="str">
        <f>IF(AND('Mapa final'!$AG$30="Alta",'Mapa final'!$AI$30="Moderado"),CONCATENATE("R5C",'Mapa final'!$S$30),"")</f>
        <v/>
      </c>
      <c r="Y20" s="44" t="str">
        <f>IF(AND('Mapa final'!$AG$31="Alta",'Mapa final'!$AI$31="Moderado"),CONCATENATE("R5C",'Mapa final'!$S$31),"")</f>
        <v/>
      </c>
      <c r="Z20" s="44" t="str">
        <f>IF(AND('Mapa final'!$AG$32="Alta",'Mapa final'!$AI$32="Moderado"),CONCATENATE("R5C",'Mapa final'!$S$32),"")</f>
        <v/>
      </c>
      <c r="AA20" s="40" t="str">
        <f>IF(AND('Mapa final'!$AG$33="Alta",'Mapa final'!$AI$33="Moderado"),CONCATENATE("R5C",'Mapa final'!$S$33),"")</f>
        <v/>
      </c>
      <c r="AB20" s="38" t="str">
        <f ca="1">IF(AND('Mapa final'!$AG$28="Alta",'Mapa final'!$AI$28="Mayor"),CONCATENATE("R5C",'Mapa final'!$S$28),"")</f>
        <v/>
      </c>
      <c r="AC20" s="39" t="str">
        <f ca="1">IF(AND('Mapa final'!$AG$29="Alta",'Mapa final'!$AI$29="Mayor"),CONCATENATE("R5C",'Mapa final'!$S$29),"")</f>
        <v/>
      </c>
      <c r="AD20" s="44" t="str">
        <f>IF(AND('Mapa final'!$AG$30="Alta",'Mapa final'!$AI$30="Mayor"),CONCATENATE("R5C",'Mapa final'!$S$30),"")</f>
        <v/>
      </c>
      <c r="AE20" s="44" t="str">
        <f>IF(AND('Mapa final'!$AG$31="Alta",'Mapa final'!$AI$31="Mayor"),CONCATENATE("R5C",'Mapa final'!$S$31),"")</f>
        <v/>
      </c>
      <c r="AF20" s="44" t="str">
        <f>IF(AND('Mapa final'!$AG$32="Alta",'Mapa final'!$AI$32="Mayor"),CONCATENATE("R5C",'Mapa final'!$S$32),"")</f>
        <v/>
      </c>
      <c r="AG20" s="40" t="str">
        <f>IF(AND('Mapa final'!$AG$33="Alta",'Mapa final'!$AI$33="Mayor"),CONCATENATE("R5C",'Mapa final'!$S$33),"")</f>
        <v/>
      </c>
      <c r="AH20" s="41" t="str">
        <f ca="1">IF(AND('Mapa final'!$AG$28="Alta",'Mapa final'!$AI$28="Catastrófico"),CONCATENATE("R5C",'Mapa final'!$S$28),"")</f>
        <v/>
      </c>
      <c r="AI20" s="42" t="str">
        <f ca="1">IF(AND('Mapa final'!$AG$29="Alta",'Mapa final'!$AI$29="Catastrófico"),CONCATENATE("R5C",'Mapa final'!$S$29),"")</f>
        <v/>
      </c>
      <c r="AJ20" s="42" t="str">
        <f>IF(AND('Mapa final'!$AG$30="Alta",'Mapa final'!$AI$30="Catastrófico"),CONCATENATE("R5C",'Mapa final'!$S$30),"")</f>
        <v/>
      </c>
      <c r="AK20" s="42" t="str">
        <f>IF(AND('Mapa final'!$AG$31="Alta",'Mapa final'!$AI$31="Catastrófico"),CONCATENATE("R5C",'Mapa final'!$S$31),"")</f>
        <v/>
      </c>
      <c r="AL20" s="42" t="str">
        <f>IF(AND('Mapa final'!$AG$32="Alta",'Mapa final'!$AI$32="Catastrófico"),CONCATENATE("R5C",'Mapa final'!$S$32),"")</f>
        <v/>
      </c>
      <c r="AM20" s="43" t="str">
        <f>IF(AND('Mapa final'!$AG$33="Alta",'Mapa final'!$AI$33="Catastrófico"),CONCATENATE("R5C",'Mapa final'!$S$33),"")</f>
        <v/>
      </c>
      <c r="AN20" s="70"/>
      <c r="AO20" s="274"/>
      <c r="AP20" s="275"/>
      <c r="AQ20" s="275"/>
      <c r="AR20" s="275"/>
      <c r="AS20" s="275"/>
      <c r="AT20" s="276"/>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183"/>
      <c r="C21" s="183"/>
      <c r="D21" s="184"/>
      <c r="E21" s="284"/>
      <c r="F21" s="285"/>
      <c r="G21" s="285"/>
      <c r="H21" s="285"/>
      <c r="I21" s="283"/>
      <c r="J21" s="54" t="str">
        <f ca="1">IF(AND('Mapa final'!$AG$34="Alta",'Mapa final'!$AI$34="Leve"),CONCATENATE("R6C",'Mapa final'!$S$34),"")</f>
        <v/>
      </c>
      <c r="K21" s="55" t="str">
        <f ca="1">IF(AND('Mapa final'!$AG$35="Alta",'Mapa final'!$AI$35="Leve"),CONCATENATE("R6C",'Mapa final'!$S$35),"")</f>
        <v/>
      </c>
      <c r="L21" s="55" t="str">
        <f ca="1">IF(AND('Mapa final'!$AG$36="Alta",'Mapa final'!$AI$36="Leve"),CONCATENATE("R6C",'Mapa final'!$S$36),"")</f>
        <v/>
      </c>
      <c r="M21" s="55" t="str">
        <f ca="1">IF(AND('Mapa final'!$AG$37="Alta",'Mapa final'!$AI$37="Leve"),CONCATENATE("R6C",'Mapa final'!$S$37),"")</f>
        <v/>
      </c>
      <c r="N21" s="55" t="str">
        <f>IF(AND('Mapa final'!$AG$38="Alta",'Mapa final'!$AI$38="Leve"),CONCATENATE("R6C",'Mapa final'!$S$38),"")</f>
        <v/>
      </c>
      <c r="O21" s="56" t="str">
        <f>IF(AND('Mapa final'!$AG$39="Alta",'Mapa final'!$AI$39="Leve"),CONCATENATE("R6C",'Mapa final'!$S$39),"")</f>
        <v/>
      </c>
      <c r="P21" s="54" t="str">
        <f ca="1">IF(AND('Mapa final'!$AG$34="Alta",'Mapa final'!$AI$34="Menor"),CONCATENATE("R6C",'Mapa final'!$S$34),"")</f>
        <v/>
      </c>
      <c r="Q21" s="55" t="str">
        <f ca="1">IF(AND('Mapa final'!$AG$35="Alta",'Mapa final'!$AI$35="Menor"),CONCATENATE("R6C",'Mapa final'!$S$35),"")</f>
        <v/>
      </c>
      <c r="R21" s="55" t="str">
        <f ca="1">IF(AND('Mapa final'!$AG$36="Alta",'Mapa final'!$AI$36="Menor"),CONCATENATE("R6C",'Mapa final'!$S$36),"")</f>
        <v/>
      </c>
      <c r="S21" s="55" t="str">
        <f ca="1">IF(AND('Mapa final'!$AG$37="Alta",'Mapa final'!$AI$37="Menor"),CONCATENATE("R6C",'Mapa final'!$S$37),"")</f>
        <v/>
      </c>
      <c r="T21" s="55" t="str">
        <f>IF(AND('Mapa final'!$AG$38="Alta",'Mapa final'!$AI$38="Menor"),CONCATENATE("R6C",'Mapa final'!$S$38),"")</f>
        <v/>
      </c>
      <c r="U21" s="56" t="str">
        <f>IF(AND('Mapa final'!$AG$39="Alta",'Mapa final'!$AI$39="Menor"),CONCATENATE("R6C",'Mapa final'!$S$39),"")</f>
        <v/>
      </c>
      <c r="V21" s="38" t="str">
        <f ca="1">IF(AND('Mapa final'!$AG$34="Alta",'Mapa final'!$AI$34="Moderado"),CONCATENATE("R6C",'Mapa final'!$S$34),"")</f>
        <v/>
      </c>
      <c r="W21" s="39" t="str">
        <f ca="1">IF(AND('Mapa final'!$AG$35="Alta",'Mapa final'!$AI$35="Moderado"),CONCATENATE("R6C",'Mapa final'!$S$35),"")</f>
        <v/>
      </c>
      <c r="X21" s="44" t="str">
        <f ca="1">IF(AND('Mapa final'!$AG$36="Alta",'Mapa final'!$AI$36="Moderado"),CONCATENATE("R6C",'Mapa final'!$S$36),"")</f>
        <v/>
      </c>
      <c r="Y21" s="44" t="str">
        <f ca="1">IF(AND('Mapa final'!$AG$37="Alta",'Mapa final'!$AI$37="Moderado"),CONCATENATE("R6C",'Mapa final'!$S$37),"")</f>
        <v/>
      </c>
      <c r="Z21" s="44" t="str">
        <f>IF(AND('Mapa final'!$AG$38="Alta",'Mapa final'!$AI$38="Moderado"),CONCATENATE("R6C",'Mapa final'!$S$38),"")</f>
        <v/>
      </c>
      <c r="AA21" s="40" t="str">
        <f>IF(AND('Mapa final'!$AG$39="Alta",'Mapa final'!$AI$39="Moderado"),CONCATENATE("R6C",'Mapa final'!$S$39),"")</f>
        <v/>
      </c>
      <c r="AB21" s="38" t="str">
        <f ca="1">IF(AND('Mapa final'!$AG$34="Alta",'Mapa final'!$AI$34="Mayor"),CONCATENATE("R6C",'Mapa final'!$S$34),"")</f>
        <v/>
      </c>
      <c r="AC21" s="39" t="str">
        <f ca="1">IF(AND('Mapa final'!$AG$35="Alta",'Mapa final'!$AI$35="Mayor"),CONCATENATE("R6C",'Mapa final'!$S$35),"")</f>
        <v/>
      </c>
      <c r="AD21" s="44" t="str">
        <f ca="1">IF(AND('Mapa final'!$AG$36="Alta",'Mapa final'!$AI$36="Mayor"),CONCATENATE("R6C",'Mapa final'!$S$36),"")</f>
        <v/>
      </c>
      <c r="AE21" s="44" t="str">
        <f ca="1">IF(AND('Mapa final'!$AG$37="Alta",'Mapa final'!$AI$37="Mayor"),CONCATENATE("R6C",'Mapa final'!$S$37),"")</f>
        <v/>
      </c>
      <c r="AF21" s="44" t="str">
        <f>IF(AND('Mapa final'!$AG$38="Alta",'Mapa final'!$AI$38="Mayor"),CONCATENATE("R6C",'Mapa final'!$S$38),"")</f>
        <v/>
      </c>
      <c r="AG21" s="40" t="str">
        <f>IF(AND('Mapa final'!$AG$39="Alta",'Mapa final'!$AI$39="Mayor"),CONCATENATE("R6C",'Mapa final'!$S$39),"")</f>
        <v/>
      </c>
      <c r="AH21" s="41" t="str">
        <f ca="1">IF(AND('Mapa final'!$AG$34="Alta",'Mapa final'!$AI$34="Catastrófico"),CONCATENATE("R6C",'Mapa final'!$S$34),"")</f>
        <v/>
      </c>
      <c r="AI21" s="42" t="str">
        <f ca="1">IF(AND('Mapa final'!$AG$35="Alta",'Mapa final'!$AI$35="Catastrófico"),CONCATENATE("R6C",'Mapa final'!$S$35),"")</f>
        <v/>
      </c>
      <c r="AJ21" s="42" t="str">
        <f ca="1">IF(AND('Mapa final'!$AG$36="Alta",'Mapa final'!$AI$36="Catastrófico"),CONCATENATE("R6C",'Mapa final'!$S$36),"")</f>
        <v/>
      </c>
      <c r="AK21" s="42" t="str">
        <f ca="1">IF(AND('Mapa final'!$AG$37="Alta",'Mapa final'!$AI$37="Catastrófico"),CONCATENATE("R6C",'Mapa final'!$S$37),"")</f>
        <v/>
      </c>
      <c r="AL21" s="42" t="str">
        <f>IF(AND('Mapa final'!$AG$38="Alta",'Mapa final'!$AI$38="Catastrófico"),CONCATENATE("R6C",'Mapa final'!$S$38),"")</f>
        <v/>
      </c>
      <c r="AM21" s="43" t="str">
        <f>IF(AND('Mapa final'!$AG$39="Alta",'Mapa final'!$AI$39="Catastrófico"),CONCATENATE("R6C",'Mapa final'!$S$39),"")</f>
        <v/>
      </c>
      <c r="AN21" s="70"/>
      <c r="AO21" s="274"/>
      <c r="AP21" s="275"/>
      <c r="AQ21" s="275"/>
      <c r="AR21" s="275"/>
      <c r="AS21" s="275"/>
      <c r="AT21" s="276"/>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183"/>
      <c r="C22" s="183"/>
      <c r="D22" s="184"/>
      <c r="E22" s="284"/>
      <c r="F22" s="285"/>
      <c r="G22" s="285"/>
      <c r="H22" s="285"/>
      <c r="I22" s="283"/>
      <c r="J22" s="54" t="str">
        <f ca="1">IF(AND('Mapa final'!$AG$40="Alta",'Mapa final'!$AI$40="Leve"),CONCATENATE("R7C",'Mapa final'!$S$40),"")</f>
        <v/>
      </c>
      <c r="K22" s="55" t="str">
        <f ca="1">IF(AND('Mapa final'!$AG$41="Alta",'Mapa final'!$AI$41="Leve"),CONCATENATE("R7C",'Mapa final'!$S$41),"")</f>
        <v/>
      </c>
      <c r="L22" s="55" t="str">
        <f>IF(AND('Mapa final'!$AG$42="Alta",'Mapa final'!$AI$42="Leve"),CONCATENATE("R7C",'Mapa final'!$S$42),"")</f>
        <v/>
      </c>
      <c r="M22" s="55" t="str">
        <f>IF(AND('Mapa final'!$AG$43="Alta",'Mapa final'!$AI$43="Leve"),CONCATENATE("R7C",'Mapa final'!$S$43),"")</f>
        <v/>
      </c>
      <c r="N22" s="55" t="str">
        <f>IF(AND('Mapa final'!$AG$44="Alta",'Mapa final'!$AI$44="Leve"),CONCATENATE("R7C",'Mapa final'!$S$44),"")</f>
        <v/>
      </c>
      <c r="O22" s="56" t="str">
        <f>IF(AND('Mapa final'!$AG$45="Alta",'Mapa final'!$AI$45="Leve"),CONCATENATE("R7C",'Mapa final'!$S$45),"")</f>
        <v/>
      </c>
      <c r="P22" s="54" t="str">
        <f ca="1">IF(AND('Mapa final'!$AG$40="Alta",'Mapa final'!$AI$40="Menor"),CONCATENATE("R7C",'Mapa final'!$S$40),"")</f>
        <v/>
      </c>
      <c r="Q22" s="55" t="str">
        <f ca="1">IF(AND('Mapa final'!$AG$41="Alta",'Mapa final'!$AI$41="Menor"),CONCATENATE("R7C",'Mapa final'!$S$41),"")</f>
        <v/>
      </c>
      <c r="R22" s="55" t="str">
        <f>IF(AND('Mapa final'!$AG$42="Alta",'Mapa final'!$AI$42="Menor"),CONCATENATE("R7C",'Mapa final'!$S$42),"")</f>
        <v/>
      </c>
      <c r="S22" s="55" t="str">
        <f>IF(AND('Mapa final'!$AG$43="Alta",'Mapa final'!$AI$43="Menor"),CONCATENATE("R7C",'Mapa final'!$S$43),"")</f>
        <v/>
      </c>
      <c r="T22" s="55" t="str">
        <f>IF(AND('Mapa final'!$AG$44="Alta",'Mapa final'!$AI$44="Menor"),CONCATENATE("R7C",'Mapa final'!$S$44),"")</f>
        <v/>
      </c>
      <c r="U22" s="56" t="str">
        <f>IF(AND('Mapa final'!$AG$45="Alta",'Mapa final'!$AI$45="Menor"),CONCATENATE("R7C",'Mapa final'!$S$45),"")</f>
        <v/>
      </c>
      <c r="V22" s="38" t="str">
        <f ca="1">IF(AND('Mapa final'!$AG$40="Alta",'Mapa final'!$AI$40="Moderado"),CONCATENATE("R7C",'Mapa final'!$S$40),"")</f>
        <v/>
      </c>
      <c r="W22" s="39" t="str">
        <f ca="1">IF(AND('Mapa final'!$AG$41="Alta",'Mapa final'!$AI$41="Moderado"),CONCATENATE("R7C",'Mapa final'!$S$41),"")</f>
        <v/>
      </c>
      <c r="X22" s="44" t="str">
        <f>IF(AND('Mapa final'!$AG$42="Alta",'Mapa final'!$AI$42="Moderado"),CONCATENATE("R7C",'Mapa final'!$S$42),"")</f>
        <v/>
      </c>
      <c r="Y22" s="44" t="str">
        <f>IF(AND('Mapa final'!$AG$43="Alta",'Mapa final'!$AI$43="Moderado"),CONCATENATE("R7C",'Mapa final'!$S$43),"")</f>
        <v/>
      </c>
      <c r="Z22" s="44" t="str">
        <f>IF(AND('Mapa final'!$AG$44="Alta",'Mapa final'!$AI$44="Moderado"),CONCATENATE("R7C",'Mapa final'!$S$44),"")</f>
        <v/>
      </c>
      <c r="AA22" s="40" t="str">
        <f>IF(AND('Mapa final'!$AG$45="Alta",'Mapa final'!$AI$45="Moderado"),CONCATENATE("R7C",'Mapa final'!$S$45),"")</f>
        <v/>
      </c>
      <c r="AB22" s="38" t="str">
        <f ca="1">IF(AND('Mapa final'!$AG$40="Alta",'Mapa final'!$AI$40="Mayor"),CONCATENATE("R7C",'Mapa final'!$S$40),"")</f>
        <v/>
      </c>
      <c r="AC22" s="39" t="str">
        <f ca="1">IF(AND('Mapa final'!$AG$41="Alta",'Mapa final'!$AI$41="Mayor"),CONCATENATE("R7C",'Mapa final'!$S$41),"")</f>
        <v/>
      </c>
      <c r="AD22" s="44" t="str">
        <f>IF(AND('Mapa final'!$AG$42="Alta",'Mapa final'!$AI$42="Mayor"),CONCATENATE("R7C",'Mapa final'!$S$42),"")</f>
        <v/>
      </c>
      <c r="AE22" s="44" t="str">
        <f>IF(AND('Mapa final'!$AG$43="Alta",'Mapa final'!$AI$43="Mayor"),CONCATENATE("R7C",'Mapa final'!$S$43),"")</f>
        <v/>
      </c>
      <c r="AF22" s="44" t="str">
        <f>IF(AND('Mapa final'!$AG$44="Alta",'Mapa final'!$AI$44="Mayor"),CONCATENATE("R7C",'Mapa final'!$S$44),"")</f>
        <v/>
      </c>
      <c r="AG22" s="40" t="str">
        <f>IF(AND('Mapa final'!$AG$45="Alta",'Mapa final'!$AI$45="Mayor"),CONCATENATE("R7C",'Mapa final'!$S$45),"")</f>
        <v/>
      </c>
      <c r="AH22" s="41" t="str">
        <f ca="1">IF(AND('Mapa final'!$AG$40="Alta",'Mapa final'!$AI$40="Catastrófico"),CONCATENATE("R7C",'Mapa final'!$S$40),"")</f>
        <v/>
      </c>
      <c r="AI22" s="42" t="str">
        <f ca="1">IF(AND('Mapa final'!$AG$41="Alta",'Mapa final'!$AI$41="Catastrófico"),CONCATENATE("R7C",'Mapa final'!$S$41),"")</f>
        <v/>
      </c>
      <c r="AJ22" s="42" t="str">
        <f>IF(AND('Mapa final'!$AG$42="Alta",'Mapa final'!$AI$42="Catastrófico"),CONCATENATE("R7C",'Mapa final'!$S$42),"")</f>
        <v/>
      </c>
      <c r="AK22" s="42" t="str">
        <f>IF(AND('Mapa final'!$AG$43="Alta",'Mapa final'!$AI$43="Catastrófico"),CONCATENATE("R7C",'Mapa final'!$S$43),"")</f>
        <v/>
      </c>
      <c r="AL22" s="42" t="str">
        <f>IF(AND('Mapa final'!$AG$44="Alta",'Mapa final'!$AI$44="Catastrófico"),CONCATENATE("R7C",'Mapa final'!$S$44),"")</f>
        <v/>
      </c>
      <c r="AM22" s="43" t="str">
        <f>IF(AND('Mapa final'!$AG$45="Alta",'Mapa final'!$AI$45="Catastrófico"),CONCATENATE("R7C",'Mapa final'!$S$45),"")</f>
        <v/>
      </c>
      <c r="AN22" s="70"/>
      <c r="AO22" s="274"/>
      <c r="AP22" s="275"/>
      <c r="AQ22" s="275"/>
      <c r="AR22" s="275"/>
      <c r="AS22" s="275"/>
      <c r="AT22" s="276"/>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183"/>
      <c r="C23" s="183"/>
      <c r="D23" s="184"/>
      <c r="E23" s="284"/>
      <c r="F23" s="285"/>
      <c r="G23" s="285"/>
      <c r="H23" s="285"/>
      <c r="I23" s="283"/>
      <c r="J23" s="54" t="str">
        <f ca="1">IF(AND('Mapa final'!$AG$46="Alta",'Mapa final'!$AI$46="Leve"),CONCATENATE("R8C",'Mapa final'!$S$46),"")</f>
        <v/>
      </c>
      <c r="K23" s="55" t="str">
        <f ca="1">IF(AND('Mapa final'!$AG$47="Alta",'Mapa final'!$AI$47="Leve"),CONCATENATE("R8C",'Mapa final'!$S$47),"")</f>
        <v/>
      </c>
      <c r="L23" s="55" t="str">
        <f ca="1">IF(AND('Mapa final'!$AG$48="Alta",'Mapa final'!$AI$48="Leve"),CONCATENATE("R8C",'Mapa final'!$S$48),"")</f>
        <v/>
      </c>
      <c r="M23" s="55" t="str">
        <f ca="1">IF(AND('Mapa final'!$AG$49="Alta",'Mapa final'!$AI$49="Leve"),CONCATENATE("R8C",'Mapa final'!$S$49),"")</f>
        <v/>
      </c>
      <c r="N23" s="55" t="str">
        <f>IF(AND('Mapa final'!$AG$50="Alta",'Mapa final'!$AI$50="Leve"),CONCATENATE("R8C",'Mapa final'!$S$50),"")</f>
        <v/>
      </c>
      <c r="O23" s="56" t="str">
        <f>IF(AND('Mapa final'!$AG$51="Alta",'Mapa final'!$AI$51="Leve"),CONCATENATE("R8C",'Mapa final'!$S$51),"")</f>
        <v/>
      </c>
      <c r="P23" s="54" t="str">
        <f ca="1">IF(AND('Mapa final'!$AG$46="Alta",'Mapa final'!$AI$46="Menor"),CONCATENATE("R8C",'Mapa final'!$S$46),"")</f>
        <v/>
      </c>
      <c r="Q23" s="55" t="str">
        <f ca="1">IF(AND('Mapa final'!$AG$47="Alta",'Mapa final'!$AI$47="Menor"),CONCATENATE("R8C",'Mapa final'!$S$47),"")</f>
        <v/>
      </c>
      <c r="R23" s="55" t="str">
        <f ca="1">IF(AND('Mapa final'!$AG$48="Alta",'Mapa final'!$AI$48="Menor"),CONCATENATE("R8C",'Mapa final'!$S$48),"")</f>
        <v/>
      </c>
      <c r="S23" s="55" t="str">
        <f ca="1">IF(AND('Mapa final'!$AG$49="Alta",'Mapa final'!$AI$49="Menor"),CONCATENATE("R8C",'Mapa final'!$S$49),"")</f>
        <v/>
      </c>
      <c r="T23" s="55" t="str">
        <f>IF(AND('Mapa final'!$AG$50="Alta",'Mapa final'!$AI$50="Menor"),CONCATENATE("R8C",'Mapa final'!$S$50),"")</f>
        <v/>
      </c>
      <c r="U23" s="56" t="str">
        <f>IF(AND('Mapa final'!$AG$51="Alta",'Mapa final'!$AI$51="Menor"),CONCATENATE("R8C",'Mapa final'!$S$51),"")</f>
        <v/>
      </c>
      <c r="V23" s="38" t="str">
        <f ca="1">IF(AND('Mapa final'!$AG$46="Alta",'Mapa final'!$AI$46="Moderado"),CONCATENATE("R8C",'Mapa final'!$S$46),"")</f>
        <v/>
      </c>
      <c r="W23" s="39" t="str">
        <f ca="1">IF(AND('Mapa final'!$AG$47="Alta",'Mapa final'!$AI$47="Moderado"),CONCATENATE("R8C",'Mapa final'!$S$47),"")</f>
        <v/>
      </c>
      <c r="X23" s="44" t="str">
        <f ca="1">IF(AND('Mapa final'!$AG$48="Alta",'Mapa final'!$AI$48="Moderado"),CONCATENATE("R8C",'Mapa final'!$S$48),"")</f>
        <v/>
      </c>
      <c r="Y23" s="44" t="str">
        <f ca="1">IF(AND('Mapa final'!$AG$49="Alta",'Mapa final'!$AI$49="Moderado"),CONCATENATE("R8C",'Mapa final'!$S$49),"")</f>
        <v/>
      </c>
      <c r="Z23" s="44" t="str">
        <f>IF(AND('Mapa final'!$AG$50="Alta",'Mapa final'!$AI$50="Moderado"),CONCATENATE("R8C",'Mapa final'!$S$50),"")</f>
        <v/>
      </c>
      <c r="AA23" s="40" t="str">
        <f>IF(AND('Mapa final'!$AG$51="Alta",'Mapa final'!$AI$51="Moderado"),CONCATENATE("R8C",'Mapa final'!$S$51),"")</f>
        <v/>
      </c>
      <c r="AB23" s="38" t="str">
        <f ca="1">IF(AND('Mapa final'!$AG$46="Alta",'Mapa final'!$AI$46="Mayor"),CONCATENATE("R8C",'Mapa final'!$S$46),"")</f>
        <v/>
      </c>
      <c r="AC23" s="39" t="str">
        <f ca="1">IF(AND('Mapa final'!$AG$47="Alta",'Mapa final'!$AI$47="Mayor"),CONCATENATE("R8C",'Mapa final'!$S$47),"")</f>
        <v/>
      </c>
      <c r="AD23" s="44" t="str">
        <f ca="1">IF(AND('Mapa final'!$AG$48="Alta",'Mapa final'!$AI$48="Mayor"),CONCATENATE("R8C",'Mapa final'!$S$48),"")</f>
        <v/>
      </c>
      <c r="AE23" s="44" t="str">
        <f ca="1">IF(AND('Mapa final'!$AG$49="Alta",'Mapa final'!$AI$49="Mayor"),CONCATENATE("R8C",'Mapa final'!$S$49),"")</f>
        <v/>
      </c>
      <c r="AF23" s="44" t="str">
        <f>IF(AND('Mapa final'!$AG$50="Alta",'Mapa final'!$AI$50="Mayor"),CONCATENATE("R8C",'Mapa final'!$S$50),"")</f>
        <v/>
      </c>
      <c r="AG23" s="40" t="str">
        <f>IF(AND('Mapa final'!$AG$51="Alta",'Mapa final'!$AI$51="Mayor"),CONCATENATE("R8C",'Mapa final'!$S$51),"")</f>
        <v/>
      </c>
      <c r="AH23" s="41" t="str">
        <f ca="1">IF(AND('Mapa final'!$AG$46="Alta",'Mapa final'!$AI$46="Catastrófico"),CONCATENATE("R8C",'Mapa final'!$S$46),"")</f>
        <v/>
      </c>
      <c r="AI23" s="42" t="str">
        <f ca="1">IF(AND('Mapa final'!$AG$47="Alta",'Mapa final'!$AI$47="Catastrófico"),CONCATENATE("R8C",'Mapa final'!$S$47),"")</f>
        <v/>
      </c>
      <c r="AJ23" s="42" t="str">
        <f ca="1">IF(AND('Mapa final'!$AG$48="Alta",'Mapa final'!$AI$48="Catastrófico"),CONCATENATE("R8C",'Mapa final'!$S$48),"")</f>
        <v/>
      </c>
      <c r="AK23" s="42" t="str">
        <f ca="1">IF(AND('Mapa final'!$AG$49="Alta",'Mapa final'!$AI$49="Catastrófico"),CONCATENATE("R8C",'Mapa final'!$S$49),"")</f>
        <v/>
      </c>
      <c r="AL23" s="42" t="str">
        <f>IF(AND('Mapa final'!$AG$50="Alta",'Mapa final'!$AI$50="Catastrófico"),CONCATENATE("R8C",'Mapa final'!$S$50),"")</f>
        <v/>
      </c>
      <c r="AM23" s="43" t="str">
        <f>IF(AND('Mapa final'!$AG$51="Alta",'Mapa final'!$AI$51="Catastrófico"),CONCATENATE("R8C",'Mapa final'!$S$51),"")</f>
        <v/>
      </c>
      <c r="AN23" s="70"/>
      <c r="AO23" s="274"/>
      <c r="AP23" s="275"/>
      <c r="AQ23" s="275"/>
      <c r="AR23" s="275"/>
      <c r="AS23" s="275"/>
      <c r="AT23" s="276"/>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183"/>
      <c r="C24" s="183"/>
      <c r="D24" s="184"/>
      <c r="E24" s="284"/>
      <c r="F24" s="285"/>
      <c r="G24" s="285"/>
      <c r="H24" s="285"/>
      <c r="I24" s="283"/>
      <c r="J24" s="54" t="str">
        <f ca="1">IF(AND('Mapa final'!$AG$52="Alta",'Mapa final'!$AI$52="Leve"),CONCATENATE("R9C",'Mapa final'!$S$52),"")</f>
        <v/>
      </c>
      <c r="K24" s="55" t="str">
        <f ca="1">IF(AND('Mapa final'!$AG$53="Alta",'Mapa final'!$AI$53="Leve"),CONCATENATE("R9C",'Mapa final'!$S$53),"")</f>
        <v/>
      </c>
      <c r="L24" s="55" t="str">
        <f ca="1">IF(AND('Mapa final'!$AG$54="Alta",'Mapa final'!$AI$54="Leve"),CONCATENATE("R9C",'Mapa final'!$S$54),"")</f>
        <v/>
      </c>
      <c r="M24" s="55" t="str">
        <f ca="1">IF(AND('Mapa final'!$AG$55="Alta",'Mapa final'!$AI$55="Leve"),CONCATENATE("R9C",'Mapa final'!$S$55),"")</f>
        <v/>
      </c>
      <c r="N24" s="55" t="str">
        <f>IF(AND('Mapa final'!$AG$56="Alta",'Mapa final'!$AI$56="Leve"),CONCATENATE("R9C",'Mapa final'!$S$56),"")</f>
        <v/>
      </c>
      <c r="O24" s="56" t="str">
        <f>IF(AND('Mapa final'!$AG$57="Alta",'Mapa final'!$AI$57="Leve"),CONCATENATE("R9C",'Mapa final'!$S$57),"")</f>
        <v/>
      </c>
      <c r="P24" s="54" t="str">
        <f ca="1">IF(AND('Mapa final'!$AG$52="Alta",'Mapa final'!$AI$52="Menor"),CONCATENATE("R9C",'Mapa final'!$S$52),"")</f>
        <v/>
      </c>
      <c r="Q24" s="55" t="str">
        <f ca="1">IF(AND('Mapa final'!$AG$53="Alta",'Mapa final'!$AI$53="Menor"),CONCATENATE("R9C",'Mapa final'!$S$53),"")</f>
        <v/>
      </c>
      <c r="R24" s="55" t="str">
        <f ca="1">IF(AND('Mapa final'!$AG$54="Alta",'Mapa final'!$AI$54="Menor"),CONCATENATE("R9C",'Mapa final'!$S$54),"")</f>
        <v/>
      </c>
      <c r="S24" s="55" t="str">
        <f ca="1">IF(AND('Mapa final'!$AG$55="Alta",'Mapa final'!$AI$55="Menor"),CONCATENATE("R9C",'Mapa final'!$S$55),"")</f>
        <v/>
      </c>
      <c r="T24" s="55" t="str">
        <f>IF(AND('Mapa final'!$AG$56="Alta",'Mapa final'!$AI$56="Menor"),CONCATENATE("R9C",'Mapa final'!$S$56),"")</f>
        <v/>
      </c>
      <c r="U24" s="56" t="str">
        <f>IF(AND('Mapa final'!$AG$57="Alta",'Mapa final'!$AI$57="Menor"),CONCATENATE("R9C",'Mapa final'!$S$57),"")</f>
        <v/>
      </c>
      <c r="V24" s="38" t="str">
        <f ca="1">IF(AND('Mapa final'!$AG$52="Alta",'Mapa final'!$AI$52="Moderado"),CONCATENATE("R9C",'Mapa final'!$S$52),"")</f>
        <v/>
      </c>
      <c r="W24" s="39" t="str">
        <f ca="1">IF(AND('Mapa final'!$AG$53="Alta",'Mapa final'!$AI$53="Moderado"),CONCATENATE("R9C",'Mapa final'!$S$53),"")</f>
        <v/>
      </c>
      <c r="X24" s="44" t="str">
        <f ca="1">IF(AND('Mapa final'!$AG$54="Alta",'Mapa final'!$AI$54="Moderado"),CONCATENATE("R9C",'Mapa final'!$S$54),"")</f>
        <v/>
      </c>
      <c r="Y24" s="44" t="str">
        <f ca="1">IF(AND('Mapa final'!$AG$55="Alta",'Mapa final'!$AI$55="Moderado"),CONCATENATE("R9C",'Mapa final'!$S$55),"")</f>
        <v/>
      </c>
      <c r="Z24" s="44" t="str">
        <f>IF(AND('Mapa final'!$AG$56="Alta",'Mapa final'!$AI$56="Moderado"),CONCATENATE("R9C",'Mapa final'!$S$56),"")</f>
        <v/>
      </c>
      <c r="AA24" s="40" t="str">
        <f>IF(AND('Mapa final'!$AG$57="Alta",'Mapa final'!$AI$57="Moderado"),CONCATENATE("R9C",'Mapa final'!$S$57),"")</f>
        <v/>
      </c>
      <c r="AB24" s="38" t="str">
        <f ca="1">IF(AND('Mapa final'!$AG$52="Alta",'Mapa final'!$AI$52="Mayor"),CONCATENATE("R9C",'Mapa final'!$S$52),"")</f>
        <v/>
      </c>
      <c r="AC24" s="39" t="str">
        <f ca="1">IF(AND('Mapa final'!$AG$53="Alta",'Mapa final'!$AI$53="Mayor"),CONCATENATE("R9C",'Mapa final'!$S$53),"")</f>
        <v/>
      </c>
      <c r="AD24" s="44" t="str">
        <f ca="1">IF(AND('Mapa final'!$AG$54="Alta",'Mapa final'!$AI$54="Mayor"),CONCATENATE("R9C",'Mapa final'!$S$54),"")</f>
        <v/>
      </c>
      <c r="AE24" s="44" t="str">
        <f ca="1">IF(AND('Mapa final'!$AG$55="Alta",'Mapa final'!$AI$55="Mayor"),CONCATENATE("R9C",'Mapa final'!$S$55),"")</f>
        <v/>
      </c>
      <c r="AF24" s="44" t="str">
        <f>IF(AND('Mapa final'!$AG$56="Alta",'Mapa final'!$AI$56="Mayor"),CONCATENATE("R9C",'Mapa final'!$S$56),"")</f>
        <v/>
      </c>
      <c r="AG24" s="40" t="str">
        <f>IF(AND('Mapa final'!$AG$57="Alta",'Mapa final'!$AI$57="Mayor"),CONCATENATE("R9C",'Mapa final'!$S$57),"")</f>
        <v/>
      </c>
      <c r="AH24" s="41" t="str">
        <f ca="1">IF(AND('Mapa final'!$AG$52="Alta",'Mapa final'!$AI$52="Catastrófico"),CONCATENATE("R9C",'Mapa final'!$S$52),"")</f>
        <v/>
      </c>
      <c r="AI24" s="42" t="str">
        <f ca="1">IF(AND('Mapa final'!$AG$53="Alta",'Mapa final'!$AI$53="Catastrófico"),CONCATENATE("R9C",'Mapa final'!$S$53),"")</f>
        <v/>
      </c>
      <c r="AJ24" s="42" t="str">
        <f ca="1">IF(AND('Mapa final'!$AG$54="Alta",'Mapa final'!$AI$54="Catastrófico"),CONCATENATE("R9C",'Mapa final'!$S$54),"")</f>
        <v/>
      </c>
      <c r="AK24" s="42" t="str">
        <f ca="1">IF(AND('Mapa final'!$AG$55="Alta",'Mapa final'!$AI$55="Catastrófico"),CONCATENATE("R9C",'Mapa final'!$S$55),"")</f>
        <v/>
      </c>
      <c r="AL24" s="42" t="str">
        <f>IF(AND('Mapa final'!$AG$56="Alta",'Mapa final'!$AI$56="Catastrófico"),CONCATENATE("R9C",'Mapa final'!$S$56),"")</f>
        <v/>
      </c>
      <c r="AM24" s="43" t="str">
        <f>IF(AND('Mapa final'!$AG$57="Alta",'Mapa final'!$AI$57="Catastrófico"),CONCATENATE("R9C",'Mapa final'!$S$57),"")</f>
        <v/>
      </c>
      <c r="AN24" s="70"/>
      <c r="AO24" s="274"/>
      <c r="AP24" s="275"/>
      <c r="AQ24" s="275"/>
      <c r="AR24" s="275"/>
      <c r="AS24" s="275"/>
      <c r="AT24" s="276"/>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183"/>
      <c r="C25" s="183"/>
      <c r="D25" s="184"/>
      <c r="E25" s="286"/>
      <c r="F25" s="287"/>
      <c r="G25" s="287"/>
      <c r="H25" s="287"/>
      <c r="I25" s="287"/>
      <c r="J25" s="57" t="e">
        <f>IF(AND('Mapa final'!#REF!="Alta",'Mapa final'!#REF!="Leve"),CONCATENATE("R10C",'Mapa final'!#REF!),"")</f>
        <v>#REF!</v>
      </c>
      <c r="K25" s="58" t="e">
        <f>IF(AND('Mapa final'!#REF!="Alta",'Mapa final'!#REF!="Leve"),CONCATENATE("R10C",'Mapa final'!#REF!),"")</f>
        <v>#REF!</v>
      </c>
      <c r="L25" s="58" t="e">
        <f>IF(AND('Mapa final'!#REF!="Alta",'Mapa final'!#REF!="Leve"),CONCATENATE("R10C",'Mapa final'!#REF!),"")</f>
        <v>#REF!</v>
      </c>
      <c r="M25" s="58" t="e">
        <f>IF(AND('Mapa final'!#REF!="Alta",'Mapa final'!#REF!="Leve"),CONCATENATE("R10C",'Mapa final'!#REF!),"")</f>
        <v>#REF!</v>
      </c>
      <c r="N25" s="58" t="e">
        <f>IF(AND('Mapa final'!#REF!="Alta",'Mapa final'!#REF!="Leve"),CONCATENATE("R10C",'Mapa final'!#REF!),"")</f>
        <v>#REF!</v>
      </c>
      <c r="O25" s="59" t="e">
        <f>IF(AND('Mapa final'!#REF!="Alta",'Mapa final'!#REF!="Leve"),CONCATENATE("R10C",'Mapa final'!#REF!),"")</f>
        <v>#REF!</v>
      </c>
      <c r="P25" s="57" t="e">
        <f>IF(AND('Mapa final'!#REF!="Alta",'Mapa final'!#REF!="Menor"),CONCATENATE("R10C",'Mapa final'!#REF!),"")</f>
        <v>#REF!</v>
      </c>
      <c r="Q25" s="58" t="e">
        <f>IF(AND('Mapa final'!#REF!="Alta",'Mapa final'!#REF!="Menor"),CONCATENATE("R10C",'Mapa final'!#REF!),"")</f>
        <v>#REF!</v>
      </c>
      <c r="R25" s="58" t="e">
        <f>IF(AND('Mapa final'!#REF!="Alta",'Mapa final'!#REF!="Menor"),CONCATENATE("R10C",'Mapa final'!#REF!),"")</f>
        <v>#REF!</v>
      </c>
      <c r="S25" s="58" t="e">
        <f>IF(AND('Mapa final'!#REF!="Alta",'Mapa final'!#REF!="Menor"),CONCATENATE("R10C",'Mapa final'!#REF!),"")</f>
        <v>#REF!</v>
      </c>
      <c r="T25" s="58" t="e">
        <f>IF(AND('Mapa final'!#REF!="Alta",'Mapa final'!#REF!="Menor"),CONCATENATE("R10C",'Mapa final'!#REF!),"")</f>
        <v>#REF!</v>
      </c>
      <c r="U25" s="59" t="e">
        <f>IF(AND('Mapa final'!#REF!="Alta",'Mapa final'!#REF!="Menor"),CONCATENATE("R10C",'Mapa final'!#REF!),"")</f>
        <v>#REF!</v>
      </c>
      <c r="V25" s="45" t="e">
        <f>IF(AND('Mapa final'!#REF!="Alta",'Mapa final'!#REF!="Moderado"),CONCATENATE("R10C",'Mapa final'!#REF!),"")</f>
        <v>#REF!</v>
      </c>
      <c r="W25" s="46" t="e">
        <f>IF(AND('Mapa final'!#REF!="Alta",'Mapa final'!#REF!="Moderado"),CONCATENATE("R10C",'Mapa final'!#REF!),"")</f>
        <v>#REF!</v>
      </c>
      <c r="X25" s="46" t="e">
        <f>IF(AND('Mapa final'!#REF!="Alta",'Mapa final'!#REF!="Moderado"),CONCATENATE("R10C",'Mapa final'!#REF!),"")</f>
        <v>#REF!</v>
      </c>
      <c r="Y25" s="46" t="e">
        <f>IF(AND('Mapa final'!#REF!="Alta",'Mapa final'!#REF!="Moderado"),CONCATENATE("R10C",'Mapa final'!#REF!),"")</f>
        <v>#REF!</v>
      </c>
      <c r="Z25" s="46" t="e">
        <f>IF(AND('Mapa final'!#REF!="Alta",'Mapa final'!#REF!="Moderado"),CONCATENATE("R10C",'Mapa final'!#REF!),"")</f>
        <v>#REF!</v>
      </c>
      <c r="AA25" s="47" t="e">
        <f>IF(AND('Mapa final'!#REF!="Alta",'Mapa final'!#REF!="Moderado"),CONCATENATE("R10C",'Mapa final'!#REF!),"")</f>
        <v>#REF!</v>
      </c>
      <c r="AB25" s="45" t="e">
        <f>IF(AND('Mapa final'!#REF!="Alta",'Mapa final'!#REF!="Mayor"),CONCATENATE("R10C",'Mapa final'!#REF!),"")</f>
        <v>#REF!</v>
      </c>
      <c r="AC25" s="46" t="e">
        <f>IF(AND('Mapa final'!#REF!="Alta",'Mapa final'!#REF!="Mayor"),CONCATENATE("R10C",'Mapa final'!#REF!),"")</f>
        <v>#REF!</v>
      </c>
      <c r="AD25" s="46" t="e">
        <f>IF(AND('Mapa final'!#REF!="Alta",'Mapa final'!#REF!="Mayor"),CONCATENATE("R10C",'Mapa final'!#REF!),"")</f>
        <v>#REF!</v>
      </c>
      <c r="AE25" s="46" t="e">
        <f>IF(AND('Mapa final'!#REF!="Alta",'Mapa final'!#REF!="Mayor"),CONCATENATE("R10C",'Mapa final'!#REF!),"")</f>
        <v>#REF!</v>
      </c>
      <c r="AF25" s="46" t="e">
        <f>IF(AND('Mapa final'!#REF!="Alta",'Mapa final'!#REF!="Mayor"),CONCATENATE("R10C",'Mapa final'!#REF!),"")</f>
        <v>#REF!</v>
      </c>
      <c r="AG25" s="47" t="e">
        <f>IF(AND('Mapa final'!#REF!="Alta",'Mapa final'!#REF!="Mayor"),CONCATENATE("R10C",'Mapa final'!#REF!),"")</f>
        <v>#REF!</v>
      </c>
      <c r="AH25" s="48" t="e">
        <f>IF(AND('Mapa final'!#REF!="Alta",'Mapa final'!#REF!="Catastrófico"),CONCATENATE("R10C",'Mapa final'!#REF!),"")</f>
        <v>#REF!</v>
      </c>
      <c r="AI25" s="49" t="e">
        <f>IF(AND('Mapa final'!#REF!="Alta",'Mapa final'!#REF!="Catastrófico"),CONCATENATE("R10C",'Mapa final'!#REF!),"")</f>
        <v>#REF!</v>
      </c>
      <c r="AJ25" s="49" t="e">
        <f>IF(AND('Mapa final'!#REF!="Alta",'Mapa final'!#REF!="Catastrófico"),CONCATENATE("R10C",'Mapa final'!#REF!),"")</f>
        <v>#REF!</v>
      </c>
      <c r="AK25" s="49" t="e">
        <f>IF(AND('Mapa final'!#REF!="Alta",'Mapa final'!#REF!="Catastrófico"),CONCATENATE("R10C",'Mapa final'!#REF!),"")</f>
        <v>#REF!</v>
      </c>
      <c r="AL25" s="49" t="e">
        <f>IF(AND('Mapa final'!#REF!="Alta",'Mapa final'!#REF!="Catastrófico"),CONCATENATE("R10C",'Mapa final'!#REF!),"")</f>
        <v>#REF!</v>
      </c>
      <c r="AM25" s="50" t="e">
        <f>IF(AND('Mapa final'!#REF!="Alta",'Mapa final'!#REF!="Catastrófico"),CONCATENATE("R10C",'Mapa final'!#REF!),"")</f>
        <v>#REF!</v>
      </c>
      <c r="AN25" s="70"/>
      <c r="AO25" s="277"/>
      <c r="AP25" s="278"/>
      <c r="AQ25" s="278"/>
      <c r="AR25" s="278"/>
      <c r="AS25" s="278"/>
      <c r="AT25" s="279"/>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183"/>
      <c r="C26" s="183"/>
      <c r="D26" s="184"/>
      <c r="E26" s="280" t="s">
        <v>115</v>
      </c>
      <c r="F26" s="281"/>
      <c r="G26" s="281"/>
      <c r="H26" s="281"/>
      <c r="I26" s="299"/>
      <c r="J26" s="51" t="str">
        <f ca="1">IF(AND('Mapa final'!$AG$4="Media",'Mapa final'!$AI$4="Leve"),CONCATENATE("R1C",'Mapa final'!$S$4),"")</f>
        <v/>
      </c>
      <c r="K26" s="52" t="str">
        <f>IF(AND('Mapa final'!$AG$5="Media",'Mapa final'!$AI$5="Leve"),CONCATENATE("R1C",'Mapa final'!$S$5),"")</f>
        <v/>
      </c>
      <c r="L26" s="52" t="str">
        <f>IF(AND('Mapa final'!$AG$6="Media",'Mapa final'!$AI$6="Leve"),CONCATENATE("R1C",'Mapa final'!$S$6),"")</f>
        <v/>
      </c>
      <c r="M26" s="52" t="str">
        <f>IF(AND('Mapa final'!$AG$7="Media",'Mapa final'!$AI$7="Leve"),CONCATENATE("R1C",'Mapa final'!$S$7),"")</f>
        <v/>
      </c>
      <c r="N26" s="52" t="str">
        <f>IF(AND('Mapa final'!$AG$8="Media",'Mapa final'!$AI$8="Leve"),CONCATENATE("R1C",'Mapa final'!$S$8),"")</f>
        <v/>
      </c>
      <c r="O26" s="53" t="str">
        <f>IF(AND('Mapa final'!$AG$9="Media",'Mapa final'!$AI$9="Leve"),CONCATENATE("R1C",'Mapa final'!$S$9),"")</f>
        <v/>
      </c>
      <c r="P26" s="51" t="str">
        <f ca="1">IF(AND('Mapa final'!$AG$4="Media",'Mapa final'!$AI$4="Menor"),CONCATENATE("R1C",'Mapa final'!$S$4),"")</f>
        <v/>
      </c>
      <c r="Q26" s="52" t="str">
        <f>IF(AND('Mapa final'!$AG$5="Media",'Mapa final'!$AI$5="Menor"),CONCATENATE("R1C",'Mapa final'!$S$5),"")</f>
        <v/>
      </c>
      <c r="R26" s="52" t="str">
        <f>IF(AND('Mapa final'!$AG$6="Media",'Mapa final'!$AI$6="Menor"),CONCATENATE("R1C",'Mapa final'!$S$6),"")</f>
        <v/>
      </c>
      <c r="S26" s="52" t="str">
        <f>IF(AND('Mapa final'!$AG$7="Media",'Mapa final'!$AI$7="Menor"),CONCATENATE("R1C",'Mapa final'!$S$7),"")</f>
        <v/>
      </c>
      <c r="T26" s="52" t="str">
        <f>IF(AND('Mapa final'!$AG$8="Media",'Mapa final'!$AI$8="Menor"),CONCATENATE("R1C",'Mapa final'!$S$8),"")</f>
        <v/>
      </c>
      <c r="U26" s="53" t="str">
        <f>IF(AND('Mapa final'!$AG$9="Media",'Mapa final'!$AI$9="Menor"),CONCATENATE("R1C",'Mapa final'!$S$9),"")</f>
        <v/>
      </c>
      <c r="V26" s="51" t="str">
        <f ca="1">IF(AND('Mapa final'!$AG$4="Media",'Mapa final'!$AI$4="Moderado"),CONCATENATE("R1C",'Mapa final'!$S$4),"")</f>
        <v/>
      </c>
      <c r="W26" s="52" t="str">
        <f>IF(AND('Mapa final'!$AG$5="Media",'Mapa final'!$AI$5="Moderado"),CONCATENATE("R1C",'Mapa final'!$S$5),"")</f>
        <v/>
      </c>
      <c r="X26" s="52" t="str">
        <f>IF(AND('Mapa final'!$AG$6="Media",'Mapa final'!$AI$6="Moderado"),CONCATENATE("R1C",'Mapa final'!$S$6),"")</f>
        <v/>
      </c>
      <c r="Y26" s="52" t="str">
        <f>IF(AND('Mapa final'!$AG$7="Media",'Mapa final'!$AI$7="Moderado"),CONCATENATE("R1C",'Mapa final'!$S$7),"")</f>
        <v/>
      </c>
      <c r="Z26" s="52" t="str">
        <f>IF(AND('Mapa final'!$AG$8="Media",'Mapa final'!$AI$8="Moderado"),CONCATENATE("R1C",'Mapa final'!$S$8),"")</f>
        <v/>
      </c>
      <c r="AA26" s="53" t="str">
        <f>IF(AND('Mapa final'!$AG$9="Media",'Mapa final'!$AI$9="Moderado"),CONCATENATE("R1C",'Mapa final'!$S$9),"")</f>
        <v/>
      </c>
      <c r="AB26" s="32" t="str">
        <f ca="1">IF(AND('Mapa final'!$AG$4="Media",'Mapa final'!$AI$4="Mayor"),CONCATENATE("R1C",'Mapa final'!$S$4),"")</f>
        <v/>
      </c>
      <c r="AC26" s="33" t="str">
        <f>IF(AND('Mapa final'!$AG$5="Media",'Mapa final'!$AI$5="Mayor"),CONCATENATE("R1C",'Mapa final'!$S$5),"")</f>
        <v/>
      </c>
      <c r="AD26" s="33" t="str">
        <f>IF(AND('Mapa final'!$AG$6="Media",'Mapa final'!$AI$6="Mayor"),CONCATENATE("R1C",'Mapa final'!$S$6),"")</f>
        <v/>
      </c>
      <c r="AE26" s="33" t="str">
        <f>IF(AND('Mapa final'!$AG$7="Media",'Mapa final'!$AI$7="Mayor"),CONCATENATE("R1C",'Mapa final'!$S$7),"")</f>
        <v/>
      </c>
      <c r="AF26" s="33" t="str">
        <f>IF(AND('Mapa final'!$AG$8="Media",'Mapa final'!$AI$8="Mayor"),CONCATENATE("R1C",'Mapa final'!$S$8),"")</f>
        <v/>
      </c>
      <c r="AG26" s="34" t="str">
        <f>IF(AND('Mapa final'!$AG$9="Media",'Mapa final'!$AI$9="Mayor"),CONCATENATE("R1C",'Mapa final'!$S$9),"")</f>
        <v/>
      </c>
      <c r="AH26" s="35" t="str">
        <f ca="1">IF(AND('Mapa final'!$AG$4="Media",'Mapa final'!$AI$4="Catastrófico"),CONCATENATE("R1C",'Mapa final'!$S$4),"")</f>
        <v/>
      </c>
      <c r="AI26" s="36" t="str">
        <f>IF(AND('Mapa final'!$AG$5="Media",'Mapa final'!$AI$5="Catastrófico"),CONCATENATE("R1C",'Mapa final'!$S$5),"")</f>
        <v/>
      </c>
      <c r="AJ26" s="36" t="str">
        <f>IF(AND('Mapa final'!$AG$6="Media",'Mapa final'!$AI$6="Catastrófico"),CONCATENATE("R1C",'Mapa final'!$S$6),"")</f>
        <v/>
      </c>
      <c r="AK26" s="36" t="str">
        <f>IF(AND('Mapa final'!$AG$7="Media",'Mapa final'!$AI$7="Catastrófico"),CONCATENATE("R1C",'Mapa final'!$S$7),"")</f>
        <v/>
      </c>
      <c r="AL26" s="36" t="str">
        <f>IF(AND('Mapa final'!$AG$8="Media",'Mapa final'!$AI$8="Catastrófico"),CONCATENATE("R1C",'Mapa final'!$S$8),"")</f>
        <v/>
      </c>
      <c r="AM26" s="37" t="str">
        <f>IF(AND('Mapa final'!$AG$9="Media",'Mapa final'!$AI$9="Catastrófico"),CONCATENATE("R1C",'Mapa final'!$S$9),"")</f>
        <v/>
      </c>
      <c r="AN26" s="70"/>
      <c r="AO26" s="311" t="s">
        <v>79</v>
      </c>
      <c r="AP26" s="312"/>
      <c r="AQ26" s="312"/>
      <c r="AR26" s="312"/>
      <c r="AS26" s="312"/>
      <c r="AT26" s="313"/>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183"/>
      <c r="C27" s="183"/>
      <c r="D27" s="184"/>
      <c r="E27" s="282"/>
      <c r="F27" s="283"/>
      <c r="G27" s="283"/>
      <c r="H27" s="283"/>
      <c r="I27" s="300"/>
      <c r="J27" s="54" t="str">
        <f ca="1">IF(AND('Mapa final'!$AG$10="Media",'Mapa final'!$AI$10="Leve"),CONCATENATE("R2C",'Mapa final'!$S$10),"")</f>
        <v/>
      </c>
      <c r="K27" s="55" t="str">
        <f ca="1">IF(AND('Mapa final'!$AG$11="Media",'Mapa final'!$AI$11="Leve"),CONCATENATE("R2C",'Mapa final'!$S$11),"")</f>
        <v/>
      </c>
      <c r="L27" s="55" t="str">
        <f>IF(AND('Mapa final'!$AG$12="Media",'Mapa final'!$AI$12="Leve"),CONCATENATE("R2C",'Mapa final'!$S$12),"")</f>
        <v/>
      </c>
      <c r="M27" s="55" t="str">
        <f>IF(AND('Mapa final'!$AG$13="Media",'Mapa final'!$AI$13="Leve"),CONCATENATE("R2C",'Mapa final'!$S$13),"")</f>
        <v/>
      </c>
      <c r="N27" s="55" t="str">
        <f>IF(AND('Mapa final'!$AG$14="Media",'Mapa final'!$AI$14="Leve"),CONCATENATE("R2C",'Mapa final'!$S$14),"")</f>
        <v/>
      </c>
      <c r="O27" s="56" t="str">
        <f>IF(AND('Mapa final'!$AG$15="Media",'Mapa final'!$AI$15="Leve"),CONCATENATE("R2C",'Mapa final'!$S$15),"")</f>
        <v/>
      </c>
      <c r="P27" s="54" t="str">
        <f ca="1">IF(AND('Mapa final'!$AG$10="Media",'Mapa final'!$AI$10="Menor"),CONCATENATE("R2C",'Mapa final'!$S$10),"")</f>
        <v/>
      </c>
      <c r="Q27" s="55" t="str">
        <f ca="1">IF(AND('Mapa final'!$AG$11="Media",'Mapa final'!$AI$11="Menor"),CONCATENATE("R2C",'Mapa final'!$S$11),"")</f>
        <v/>
      </c>
      <c r="R27" s="55" t="str">
        <f>IF(AND('Mapa final'!$AG$12="Media",'Mapa final'!$AI$12="Menor"),CONCATENATE("R2C",'Mapa final'!$S$12),"")</f>
        <v/>
      </c>
      <c r="S27" s="55" t="str">
        <f>IF(AND('Mapa final'!$AG$13="Media",'Mapa final'!$AI$13="Menor"),CONCATENATE("R2C",'Mapa final'!$S$13),"")</f>
        <v/>
      </c>
      <c r="T27" s="55" t="str">
        <f>IF(AND('Mapa final'!$AG$14="Media",'Mapa final'!$AI$14="Menor"),CONCATENATE("R2C",'Mapa final'!$S$14),"")</f>
        <v/>
      </c>
      <c r="U27" s="56" t="str">
        <f>IF(AND('Mapa final'!$AG$15="Media",'Mapa final'!$AI$15="Menor"),CONCATENATE("R2C",'Mapa final'!$S$15),"")</f>
        <v/>
      </c>
      <c r="V27" s="54" t="str">
        <f ca="1">IF(AND('Mapa final'!$AG$10="Media",'Mapa final'!$AI$10="Moderado"),CONCATENATE("R2C",'Mapa final'!$S$10),"")</f>
        <v/>
      </c>
      <c r="W27" s="55" t="str">
        <f ca="1">IF(AND('Mapa final'!$AG$11="Media",'Mapa final'!$AI$11="Moderado"),CONCATENATE("R2C",'Mapa final'!$S$11),"")</f>
        <v/>
      </c>
      <c r="X27" s="55" t="str">
        <f>IF(AND('Mapa final'!$AG$12="Media",'Mapa final'!$AI$12="Moderado"),CONCATENATE("R2C",'Mapa final'!$S$12),"")</f>
        <v/>
      </c>
      <c r="Y27" s="55" t="str">
        <f>IF(AND('Mapa final'!$AG$13="Media",'Mapa final'!$AI$13="Moderado"),CONCATENATE("R2C",'Mapa final'!$S$13),"")</f>
        <v/>
      </c>
      <c r="Z27" s="55" t="str">
        <f>IF(AND('Mapa final'!$AG$14="Media",'Mapa final'!$AI$14="Moderado"),CONCATENATE("R2C",'Mapa final'!$S$14),"")</f>
        <v/>
      </c>
      <c r="AA27" s="56" t="str">
        <f>IF(AND('Mapa final'!$AG$15="Media",'Mapa final'!$AI$15="Moderado"),CONCATENATE("R2C",'Mapa final'!$S$15),"")</f>
        <v/>
      </c>
      <c r="AB27" s="38" t="str">
        <f ca="1">IF(AND('Mapa final'!$AG$10="Media",'Mapa final'!$AI$10="Mayor"),CONCATENATE("R2C",'Mapa final'!$S$10),"")</f>
        <v/>
      </c>
      <c r="AC27" s="39" t="str">
        <f ca="1">IF(AND('Mapa final'!$AG$11="Media",'Mapa final'!$AI$11="Mayor"),CONCATENATE("R2C",'Mapa final'!$S$11),"")</f>
        <v/>
      </c>
      <c r="AD27" s="39" t="str">
        <f>IF(AND('Mapa final'!$AG$12="Media",'Mapa final'!$AI$12="Mayor"),CONCATENATE("R2C",'Mapa final'!$S$12),"")</f>
        <v/>
      </c>
      <c r="AE27" s="39" t="str">
        <f>IF(AND('Mapa final'!$AG$13="Media",'Mapa final'!$AI$13="Mayor"),CONCATENATE("R2C",'Mapa final'!$S$13),"")</f>
        <v/>
      </c>
      <c r="AF27" s="39" t="str">
        <f>IF(AND('Mapa final'!$AG$14="Media",'Mapa final'!$AI$14="Mayor"),CONCATENATE("R2C",'Mapa final'!$S$14),"")</f>
        <v/>
      </c>
      <c r="AG27" s="40" t="str">
        <f>IF(AND('Mapa final'!$AG$15="Media",'Mapa final'!$AI$15="Mayor"),CONCATENATE("R2C",'Mapa final'!$S$15),"")</f>
        <v/>
      </c>
      <c r="AH27" s="41" t="str">
        <f ca="1">IF(AND('Mapa final'!$AG$10="Media",'Mapa final'!$AI$10="Catastrófico"),CONCATENATE("R2C",'Mapa final'!$S$10),"")</f>
        <v/>
      </c>
      <c r="AI27" s="42" t="str">
        <f ca="1">IF(AND('Mapa final'!$AG$11="Media",'Mapa final'!$AI$11="Catastrófico"),CONCATENATE("R2C",'Mapa final'!$S$11),"")</f>
        <v/>
      </c>
      <c r="AJ27" s="42" t="str">
        <f>IF(AND('Mapa final'!$AG$12="Media",'Mapa final'!$AI$12="Catastrófico"),CONCATENATE("R2C",'Mapa final'!$S$12),"")</f>
        <v/>
      </c>
      <c r="AK27" s="42" t="str">
        <f>IF(AND('Mapa final'!$AG$13="Media",'Mapa final'!$AI$13="Catastrófico"),CONCATENATE("R2C",'Mapa final'!$S$13),"")</f>
        <v/>
      </c>
      <c r="AL27" s="42" t="str">
        <f>IF(AND('Mapa final'!$AG$14="Media",'Mapa final'!$AI$14="Catastrófico"),CONCATENATE("R2C",'Mapa final'!$S$14),"")</f>
        <v/>
      </c>
      <c r="AM27" s="43" t="str">
        <f>IF(AND('Mapa final'!$AG$15="Media",'Mapa final'!$AI$15="Catastrófico"),CONCATENATE("R2C",'Mapa final'!$S$15),"")</f>
        <v/>
      </c>
      <c r="AN27" s="70"/>
      <c r="AO27" s="314"/>
      <c r="AP27" s="315"/>
      <c r="AQ27" s="315"/>
      <c r="AR27" s="315"/>
      <c r="AS27" s="315"/>
      <c r="AT27" s="316"/>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183"/>
      <c r="C28" s="183"/>
      <c r="D28" s="184"/>
      <c r="E28" s="284"/>
      <c r="F28" s="285"/>
      <c r="G28" s="285"/>
      <c r="H28" s="285"/>
      <c r="I28" s="300"/>
      <c r="J28" s="54" t="str">
        <f ca="1">IF(AND('Mapa final'!$AG$16="Media",'Mapa final'!$AI$16="Leve"),CONCATENATE("R3C",'Mapa final'!$S$16),"")</f>
        <v/>
      </c>
      <c r="K28" s="55" t="str">
        <f ca="1">IF(AND('Mapa final'!$AG$17="Media",'Mapa final'!$AI$17="Leve"),CONCATENATE("R3C",'Mapa final'!$S$17),"")</f>
        <v/>
      </c>
      <c r="L28" s="55" t="str">
        <f>IF(AND('Mapa final'!$AG$18="Media",'Mapa final'!$AI$18="Leve"),CONCATENATE("R3C",'Mapa final'!$S$18),"")</f>
        <v/>
      </c>
      <c r="M28" s="55" t="str">
        <f>IF(AND('Mapa final'!$AG$19="Media",'Mapa final'!$AI$19="Leve"),CONCATENATE("R3C",'Mapa final'!$S$19),"")</f>
        <v/>
      </c>
      <c r="N28" s="55" t="str">
        <f>IF(AND('Mapa final'!$AG$20="Media",'Mapa final'!$AI$20="Leve"),CONCATENATE("R3C",'Mapa final'!$S$20),"")</f>
        <v/>
      </c>
      <c r="O28" s="56" t="str">
        <f>IF(AND('Mapa final'!$AG$21="Media",'Mapa final'!$AI$21="Leve"),CONCATENATE("R3C",'Mapa final'!$S$21),"")</f>
        <v/>
      </c>
      <c r="P28" s="54" t="str">
        <f ca="1">IF(AND('Mapa final'!$AG$16="Media",'Mapa final'!$AI$16="Menor"),CONCATENATE("R3C",'Mapa final'!$S$16),"")</f>
        <v/>
      </c>
      <c r="Q28" s="55" t="str">
        <f ca="1">IF(AND('Mapa final'!$AG$17="Media",'Mapa final'!$AI$17="Menor"),CONCATENATE("R3C",'Mapa final'!$S$17),"")</f>
        <v/>
      </c>
      <c r="R28" s="55" t="str">
        <f>IF(AND('Mapa final'!$AG$18="Media",'Mapa final'!$AI$18="Menor"),CONCATENATE("R3C",'Mapa final'!$S$18),"")</f>
        <v/>
      </c>
      <c r="S28" s="55" t="str">
        <f>IF(AND('Mapa final'!$AG$19="Media",'Mapa final'!$AI$19="Menor"),CONCATENATE("R3C",'Mapa final'!$S$19),"")</f>
        <v/>
      </c>
      <c r="T28" s="55" t="str">
        <f>IF(AND('Mapa final'!$AG$20="Media",'Mapa final'!$AI$20="Menor"),CONCATENATE("R3C",'Mapa final'!$S$20),"")</f>
        <v/>
      </c>
      <c r="U28" s="56" t="str">
        <f>IF(AND('Mapa final'!$AG$21="Media",'Mapa final'!$AI$21="Menor"),CONCATENATE("R3C",'Mapa final'!$S$21),"")</f>
        <v/>
      </c>
      <c r="V28" s="54" t="str">
        <f ca="1">IF(AND('Mapa final'!$AG$16="Media",'Mapa final'!$AI$16="Moderado"),CONCATENATE("R3C",'Mapa final'!$S$16),"")</f>
        <v/>
      </c>
      <c r="W28" s="55" t="str">
        <f ca="1">IF(AND('Mapa final'!$AG$17="Media",'Mapa final'!$AI$17="Moderado"),CONCATENATE("R3C",'Mapa final'!$S$17),"")</f>
        <v/>
      </c>
      <c r="X28" s="55" t="str">
        <f>IF(AND('Mapa final'!$AG$18="Media",'Mapa final'!$AI$18="Moderado"),CONCATENATE("R3C",'Mapa final'!$S$18),"")</f>
        <v/>
      </c>
      <c r="Y28" s="55" t="str">
        <f>IF(AND('Mapa final'!$AG$19="Media",'Mapa final'!$AI$19="Moderado"),CONCATENATE("R3C",'Mapa final'!$S$19),"")</f>
        <v/>
      </c>
      <c r="Z28" s="55" t="str">
        <f>IF(AND('Mapa final'!$AG$20="Media",'Mapa final'!$AI$20="Moderado"),CONCATENATE("R3C",'Mapa final'!$S$20),"")</f>
        <v/>
      </c>
      <c r="AA28" s="56" t="str">
        <f>IF(AND('Mapa final'!$AG$21="Media",'Mapa final'!$AI$21="Moderado"),CONCATENATE("R3C",'Mapa final'!$S$21),"")</f>
        <v/>
      </c>
      <c r="AB28" s="38" t="str">
        <f ca="1">IF(AND('Mapa final'!$AG$16="Media",'Mapa final'!$AI$16="Mayor"),CONCATENATE("R3C",'Mapa final'!$S$16),"")</f>
        <v/>
      </c>
      <c r="AC28" s="39" t="str">
        <f ca="1">IF(AND('Mapa final'!$AG$17="Media",'Mapa final'!$AI$17="Mayor"),CONCATENATE("R3C",'Mapa final'!$S$17),"")</f>
        <v/>
      </c>
      <c r="AD28" s="39" t="str">
        <f>IF(AND('Mapa final'!$AG$18="Media",'Mapa final'!$AI$18="Mayor"),CONCATENATE("R3C",'Mapa final'!$S$18),"")</f>
        <v/>
      </c>
      <c r="AE28" s="39" t="str">
        <f>IF(AND('Mapa final'!$AG$19="Media",'Mapa final'!$AI$19="Mayor"),CONCATENATE("R3C",'Mapa final'!$S$19),"")</f>
        <v/>
      </c>
      <c r="AF28" s="39" t="str">
        <f>IF(AND('Mapa final'!$AG$20="Media",'Mapa final'!$AI$20="Mayor"),CONCATENATE("R3C",'Mapa final'!$S$20),"")</f>
        <v/>
      </c>
      <c r="AG28" s="40" t="str">
        <f>IF(AND('Mapa final'!$AG$21="Media",'Mapa final'!$AI$21="Mayor"),CONCATENATE("R3C",'Mapa final'!$S$21),"")</f>
        <v/>
      </c>
      <c r="AH28" s="41" t="str">
        <f ca="1">IF(AND('Mapa final'!$AG$16="Media",'Mapa final'!$AI$16="Catastrófico"),CONCATENATE("R3C",'Mapa final'!$S$16),"")</f>
        <v/>
      </c>
      <c r="AI28" s="42" t="str">
        <f ca="1">IF(AND('Mapa final'!$AG$17="Media",'Mapa final'!$AI$17="Catastrófico"),CONCATENATE("R3C",'Mapa final'!$S$17),"")</f>
        <v/>
      </c>
      <c r="AJ28" s="42" t="str">
        <f>IF(AND('Mapa final'!$AG$18="Media",'Mapa final'!$AI$18="Catastrófico"),CONCATENATE("R3C",'Mapa final'!$S$18),"")</f>
        <v/>
      </c>
      <c r="AK28" s="42" t="str">
        <f>IF(AND('Mapa final'!$AG$19="Media",'Mapa final'!$AI$19="Catastrófico"),CONCATENATE("R3C",'Mapa final'!$S$19),"")</f>
        <v/>
      </c>
      <c r="AL28" s="42" t="str">
        <f>IF(AND('Mapa final'!$AG$20="Media",'Mapa final'!$AI$20="Catastrófico"),CONCATENATE("R3C",'Mapa final'!$S$20),"")</f>
        <v/>
      </c>
      <c r="AM28" s="43" t="str">
        <f>IF(AND('Mapa final'!$AG$21="Media",'Mapa final'!$AI$21="Catastrófico"),CONCATENATE("R3C",'Mapa final'!$S$21),"")</f>
        <v/>
      </c>
      <c r="AN28" s="70"/>
      <c r="AO28" s="314"/>
      <c r="AP28" s="315"/>
      <c r="AQ28" s="315"/>
      <c r="AR28" s="315"/>
      <c r="AS28" s="315"/>
      <c r="AT28" s="316"/>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183"/>
      <c r="C29" s="183"/>
      <c r="D29" s="184"/>
      <c r="E29" s="284"/>
      <c r="F29" s="285"/>
      <c r="G29" s="285"/>
      <c r="H29" s="285"/>
      <c r="I29" s="300"/>
      <c r="J29" s="54" t="str">
        <f ca="1">IF(AND('Mapa final'!$AG$22="Media",'Mapa final'!$AI$22="Leve"),CONCATENATE("R4C",'Mapa final'!$S$22),"")</f>
        <v/>
      </c>
      <c r="K29" s="55" t="str">
        <f ca="1">IF(AND('Mapa final'!$AG$23="Media",'Mapa final'!$AI$23="Leve"),CONCATENATE("R4C",'Mapa final'!$S$23),"")</f>
        <v/>
      </c>
      <c r="L29" s="55" t="str">
        <f ca="1">IF(AND('Mapa final'!$AG$24="Media",'Mapa final'!$AI$24="Leve"),CONCATENATE("R4C",'Mapa final'!$S$24),"")</f>
        <v/>
      </c>
      <c r="M29" s="55" t="str">
        <f>IF(AND('Mapa final'!$AG$25="Media",'Mapa final'!$AI$25="Leve"),CONCATENATE("R4C",'Mapa final'!$S$25),"")</f>
        <v/>
      </c>
      <c r="N29" s="55" t="str">
        <f>IF(AND('Mapa final'!$AG$26="Media",'Mapa final'!$AI$26="Leve"),CONCATENATE("R4C",'Mapa final'!$S$26),"")</f>
        <v/>
      </c>
      <c r="O29" s="56" t="str">
        <f>IF(AND('Mapa final'!$AG$27="Media",'Mapa final'!$AI$27="Leve"),CONCATENATE("R4C",'Mapa final'!$S$27),"")</f>
        <v/>
      </c>
      <c r="P29" s="54" t="str">
        <f ca="1">IF(AND('Mapa final'!$AG$22="Media",'Mapa final'!$AI$22="Menor"),CONCATENATE("R4C",'Mapa final'!$S$22),"")</f>
        <v/>
      </c>
      <c r="Q29" s="55" t="str">
        <f ca="1">IF(AND('Mapa final'!$AG$23="Media",'Mapa final'!$AI$23="Menor"),CONCATENATE("R4C",'Mapa final'!$S$23),"")</f>
        <v/>
      </c>
      <c r="R29" s="55" t="str">
        <f ca="1">IF(AND('Mapa final'!$AG$24="Media",'Mapa final'!$AI$24="Menor"),CONCATENATE("R4C",'Mapa final'!$S$24),"")</f>
        <v/>
      </c>
      <c r="S29" s="55" t="str">
        <f>IF(AND('Mapa final'!$AG$25="Media",'Mapa final'!$AI$25="Menor"),CONCATENATE("R4C",'Mapa final'!$S$25),"")</f>
        <v/>
      </c>
      <c r="T29" s="55" t="str">
        <f>IF(AND('Mapa final'!$AG$26="Media",'Mapa final'!$AI$26="Menor"),CONCATENATE("R4C",'Mapa final'!$S$26),"")</f>
        <v/>
      </c>
      <c r="U29" s="56" t="str">
        <f>IF(AND('Mapa final'!$AG$27="Media",'Mapa final'!$AI$27="Menor"),CONCATENATE("R4C",'Mapa final'!$S$27),"")</f>
        <v/>
      </c>
      <c r="V29" s="54" t="str">
        <f ca="1">IF(AND('Mapa final'!$AG$22="Media",'Mapa final'!$AI$22="Moderado"),CONCATENATE("R4C",'Mapa final'!$S$22),"")</f>
        <v/>
      </c>
      <c r="W29" s="55" t="str">
        <f ca="1">IF(AND('Mapa final'!$AG$23="Media",'Mapa final'!$AI$23="Moderado"),CONCATENATE("R4C",'Mapa final'!$S$23),"")</f>
        <v/>
      </c>
      <c r="X29" s="55" t="str">
        <f ca="1">IF(AND('Mapa final'!$AG$24="Media",'Mapa final'!$AI$24="Moderado"),CONCATENATE("R4C",'Mapa final'!$S$24),"")</f>
        <v/>
      </c>
      <c r="Y29" s="55" t="str">
        <f>IF(AND('Mapa final'!$AG$25="Media",'Mapa final'!$AI$25="Moderado"),CONCATENATE("R4C",'Mapa final'!$S$25),"")</f>
        <v/>
      </c>
      <c r="Z29" s="55" t="str">
        <f>IF(AND('Mapa final'!$AG$26="Media",'Mapa final'!$AI$26="Moderado"),CONCATENATE("R4C",'Mapa final'!$S$26),"")</f>
        <v/>
      </c>
      <c r="AA29" s="56" t="str">
        <f>IF(AND('Mapa final'!$AG$27="Media",'Mapa final'!$AI$27="Moderado"),CONCATENATE("R4C",'Mapa final'!$S$27),"")</f>
        <v/>
      </c>
      <c r="AB29" s="38" t="str">
        <f ca="1">IF(AND('Mapa final'!$AG$22="Media",'Mapa final'!$AI$22="Mayor"),CONCATENATE("R4C",'Mapa final'!$S$22),"")</f>
        <v/>
      </c>
      <c r="AC29" s="39" t="str">
        <f ca="1">IF(AND('Mapa final'!$AG$23="Media",'Mapa final'!$AI$23="Mayor"),CONCATENATE("R4C",'Mapa final'!$S$23),"")</f>
        <v/>
      </c>
      <c r="AD29" s="44" t="str">
        <f ca="1">IF(AND('Mapa final'!$AG$24="Media",'Mapa final'!$AI$24="Mayor"),CONCATENATE("R4C",'Mapa final'!$S$24),"")</f>
        <v/>
      </c>
      <c r="AE29" s="44" t="str">
        <f>IF(AND('Mapa final'!$AG$25="Media",'Mapa final'!$AI$25="Mayor"),CONCATENATE("R4C",'Mapa final'!$S$25),"")</f>
        <v/>
      </c>
      <c r="AF29" s="44" t="str">
        <f>IF(AND('Mapa final'!$AG$26="Media",'Mapa final'!$AI$26="Mayor"),CONCATENATE("R4C",'Mapa final'!$S$26),"")</f>
        <v/>
      </c>
      <c r="AG29" s="40" t="str">
        <f>IF(AND('Mapa final'!$AG$27="Media",'Mapa final'!$AI$27="Mayor"),CONCATENATE("R4C",'Mapa final'!$S$27),"")</f>
        <v/>
      </c>
      <c r="AH29" s="41" t="str">
        <f ca="1">IF(AND('Mapa final'!$AG$22="Media",'Mapa final'!$AI$22="Catastrófico"),CONCATENATE("R4C",'Mapa final'!$S$22),"")</f>
        <v/>
      </c>
      <c r="AI29" s="42" t="str">
        <f ca="1">IF(AND('Mapa final'!$AG$23="Media",'Mapa final'!$AI$23="Catastrófico"),CONCATENATE("R4C",'Mapa final'!$S$23),"")</f>
        <v/>
      </c>
      <c r="AJ29" s="42" t="str">
        <f ca="1">IF(AND('Mapa final'!$AG$24="Media",'Mapa final'!$AI$24="Catastrófico"),CONCATENATE("R4C",'Mapa final'!$S$24),"")</f>
        <v/>
      </c>
      <c r="AK29" s="42" t="str">
        <f>IF(AND('Mapa final'!$AG$25="Media",'Mapa final'!$AI$25="Catastrófico"),CONCATENATE("R4C",'Mapa final'!$S$25),"")</f>
        <v/>
      </c>
      <c r="AL29" s="42" t="str">
        <f>IF(AND('Mapa final'!$AG$26="Media",'Mapa final'!$AI$26="Catastrófico"),CONCATENATE("R4C",'Mapa final'!$S$26),"")</f>
        <v/>
      </c>
      <c r="AM29" s="43" t="str">
        <f>IF(AND('Mapa final'!$AG$27="Media",'Mapa final'!$AI$27="Catastrófico"),CONCATENATE("R4C",'Mapa final'!$S$27),"")</f>
        <v/>
      </c>
      <c r="AN29" s="70"/>
      <c r="AO29" s="314"/>
      <c r="AP29" s="315"/>
      <c r="AQ29" s="315"/>
      <c r="AR29" s="315"/>
      <c r="AS29" s="315"/>
      <c r="AT29" s="316"/>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183"/>
      <c r="C30" s="183"/>
      <c r="D30" s="184"/>
      <c r="E30" s="284"/>
      <c r="F30" s="285"/>
      <c r="G30" s="285"/>
      <c r="H30" s="285"/>
      <c r="I30" s="300"/>
      <c r="J30" s="54" t="str">
        <f ca="1">IF(AND('Mapa final'!$AG$28="Media",'Mapa final'!$AI$28="Leve"),CONCATENATE("R5C",'Mapa final'!$S$28),"")</f>
        <v/>
      </c>
      <c r="K30" s="55" t="str">
        <f ca="1">IF(AND('Mapa final'!$AG$29="Media",'Mapa final'!$AI$29="Leve"),CONCATENATE("R5C",'Mapa final'!$S$29),"")</f>
        <v/>
      </c>
      <c r="L30" s="55" t="str">
        <f>IF(AND('Mapa final'!$AG$30="Media",'Mapa final'!$AI$30="Leve"),CONCATENATE("R5C",'Mapa final'!$S$30),"")</f>
        <v/>
      </c>
      <c r="M30" s="55" t="str">
        <f>IF(AND('Mapa final'!$AG$31="Media",'Mapa final'!$AI$31="Leve"),CONCATENATE("R5C",'Mapa final'!$S$31),"")</f>
        <v/>
      </c>
      <c r="N30" s="55" t="str">
        <f>IF(AND('Mapa final'!$AG$32="Media",'Mapa final'!$AI$32="Leve"),CONCATENATE("R5C",'Mapa final'!$S$32),"")</f>
        <v/>
      </c>
      <c r="O30" s="56" t="str">
        <f>IF(AND('Mapa final'!$AG$33="Media",'Mapa final'!$AI$33="Leve"),CONCATENATE("R5C",'Mapa final'!$S$33),"")</f>
        <v/>
      </c>
      <c r="P30" s="54" t="str">
        <f ca="1">IF(AND('Mapa final'!$AG$28="Media",'Mapa final'!$AI$28="Menor"),CONCATENATE("R5C",'Mapa final'!$S$28),"")</f>
        <v/>
      </c>
      <c r="Q30" s="55" t="str">
        <f ca="1">IF(AND('Mapa final'!$AG$29="Media",'Mapa final'!$AI$29="Menor"),CONCATENATE("R5C",'Mapa final'!$S$29),"")</f>
        <v/>
      </c>
      <c r="R30" s="55" t="str">
        <f>IF(AND('Mapa final'!$AG$30="Media",'Mapa final'!$AI$30="Menor"),CONCATENATE("R5C",'Mapa final'!$S$30),"")</f>
        <v/>
      </c>
      <c r="S30" s="55" t="str">
        <f>IF(AND('Mapa final'!$AG$31="Media",'Mapa final'!$AI$31="Menor"),CONCATENATE("R5C",'Mapa final'!$S$31),"")</f>
        <v/>
      </c>
      <c r="T30" s="55" t="str">
        <f>IF(AND('Mapa final'!$AG$32="Media",'Mapa final'!$AI$32="Menor"),CONCATENATE("R5C",'Mapa final'!$S$32),"")</f>
        <v/>
      </c>
      <c r="U30" s="56" t="str">
        <f>IF(AND('Mapa final'!$AG$33="Media",'Mapa final'!$AI$33="Menor"),CONCATENATE("R5C",'Mapa final'!$S$33),"")</f>
        <v/>
      </c>
      <c r="V30" s="54" t="str">
        <f ca="1">IF(AND('Mapa final'!$AG$28="Media",'Mapa final'!$AI$28="Moderado"),CONCATENATE("R5C",'Mapa final'!$S$28),"")</f>
        <v/>
      </c>
      <c r="W30" s="55" t="str">
        <f ca="1">IF(AND('Mapa final'!$AG$29="Media",'Mapa final'!$AI$29="Moderado"),CONCATENATE("R5C",'Mapa final'!$S$29),"")</f>
        <v/>
      </c>
      <c r="X30" s="55" t="str">
        <f>IF(AND('Mapa final'!$AG$30="Media",'Mapa final'!$AI$30="Moderado"),CONCATENATE("R5C",'Mapa final'!$S$30),"")</f>
        <v/>
      </c>
      <c r="Y30" s="55" t="str">
        <f>IF(AND('Mapa final'!$AG$31="Media",'Mapa final'!$AI$31="Moderado"),CONCATENATE("R5C",'Mapa final'!$S$31),"")</f>
        <v/>
      </c>
      <c r="Z30" s="55" t="str">
        <f>IF(AND('Mapa final'!$AG$32="Media",'Mapa final'!$AI$32="Moderado"),CONCATENATE("R5C",'Mapa final'!$S$32),"")</f>
        <v/>
      </c>
      <c r="AA30" s="56" t="str">
        <f>IF(AND('Mapa final'!$AG$33="Media",'Mapa final'!$AI$33="Moderado"),CONCATENATE("R5C",'Mapa final'!$S$33),"")</f>
        <v/>
      </c>
      <c r="AB30" s="38" t="str">
        <f ca="1">IF(AND('Mapa final'!$AG$28="Media",'Mapa final'!$AI$28="Mayor"),CONCATENATE("R5C",'Mapa final'!$S$28),"")</f>
        <v/>
      </c>
      <c r="AC30" s="39" t="str">
        <f ca="1">IF(AND('Mapa final'!$AG$29="Media",'Mapa final'!$AI$29="Mayor"),CONCATENATE("R5C",'Mapa final'!$S$29),"")</f>
        <v/>
      </c>
      <c r="AD30" s="44" t="str">
        <f>IF(AND('Mapa final'!$AG$30="Media",'Mapa final'!$AI$30="Mayor"),CONCATENATE("R5C",'Mapa final'!$S$30),"")</f>
        <v/>
      </c>
      <c r="AE30" s="44" t="str">
        <f>IF(AND('Mapa final'!$AG$31="Media",'Mapa final'!$AI$31="Mayor"),CONCATENATE("R5C",'Mapa final'!$S$31),"")</f>
        <v/>
      </c>
      <c r="AF30" s="44" t="str">
        <f>IF(AND('Mapa final'!$AG$32="Media",'Mapa final'!$AI$32="Mayor"),CONCATENATE("R5C",'Mapa final'!$S$32),"")</f>
        <v/>
      </c>
      <c r="AG30" s="40" t="str">
        <f>IF(AND('Mapa final'!$AG$33="Media",'Mapa final'!$AI$33="Mayor"),CONCATENATE("R5C",'Mapa final'!$S$33),"")</f>
        <v/>
      </c>
      <c r="AH30" s="41" t="str">
        <f ca="1">IF(AND('Mapa final'!$AG$28="Media",'Mapa final'!$AI$28="Catastrófico"),CONCATENATE("R5C",'Mapa final'!$S$28),"")</f>
        <v/>
      </c>
      <c r="AI30" s="42" t="str">
        <f ca="1">IF(AND('Mapa final'!$AG$29="Media",'Mapa final'!$AI$29="Catastrófico"),CONCATENATE("R5C",'Mapa final'!$S$29),"")</f>
        <v/>
      </c>
      <c r="AJ30" s="42" t="str">
        <f>IF(AND('Mapa final'!$AG$30="Media",'Mapa final'!$AI$30="Catastrófico"),CONCATENATE("R5C",'Mapa final'!$S$30),"")</f>
        <v/>
      </c>
      <c r="AK30" s="42" t="str">
        <f>IF(AND('Mapa final'!$AG$31="Media",'Mapa final'!$AI$31="Catastrófico"),CONCATENATE("R5C",'Mapa final'!$S$31),"")</f>
        <v/>
      </c>
      <c r="AL30" s="42" t="str">
        <f>IF(AND('Mapa final'!$AG$32="Media",'Mapa final'!$AI$32="Catastrófico"),CONCATENATE("R5C",'Mapa final'!$S$32),"")</f>
        <v/>
      </c>
      <c r="AM30" s="43" t="str">
        <f>IF(AND('Mapa final'!$AG$33="Media",'Mapa final'!$AI$33="Catastrófico"),CONCATENATE("R5C",'Mapa final'!$S$33),"")</f>
        <v/>
      </c>
      <c r="AN30" s="70"/>
      <c r="AO30" s="314"/>
      <c r="AP30" s="315"/>
      <c r="AQ30" s="315"/>
      <c r="AR30" s="315"/>
      <c r="AS30" s="315"/>
      <c r="AT30" s="316"/>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183"/>
      <c r="C31" s="183"/>
      <c r="D31" s="184"/>
      <c r="E31" s="284"/>
      <c r="F31" s="285"/>
      <c r="G31" s="285"/>
      <c r="H31" s="285"/>
      <c r="I31" s="300"/>
      <c r="J31" s="54" t="str">
        <f ca="1">IF(AND('Mapa final'!$AG$34="Media",'Mapa final'!$AI$34="Leve"),CONCATENATE("R6C",'Mapa final'!$S$34),"")</f>
        <v/>
      </c>
      <c r="K31" s="55" t="str">
        <f ca="1">IF(AND('Mapa final'!$AG$35="Media",'Mapa final'!$AI$35="Leve"),CONCATENATE("R6C",'Mapa final'!$S$35),"")</f>
        <v/>
      </c>
      <c r="L31" s="55" t="str">
        <f ca="1">IF(AND('Mapa final'!$AG$36="Media",'Mapa final'!$AI$36="Leve"),CONCATENATE("R6C",'Mapa final'!$S$36),"")</f>
        <v/>
      </c>
      <c r="M31" s="55" t="str">
        <f ca="1">IF(AND('Mapa final'!$AG$37="Media",'Mapa final'!$AI$37="Leve"),CONCATENATE("R6C",'Mapa final'!$S$37),"")</f>
        <v/>
      </c>
      <c r="N31" s="55" t="str">
        <f>IF(AND('Mapa final'!$AG$38="Media",'Mapa final'!$AI$38="Leve"),CONCATENATE("R6C",'Mapa final'!$S$38),"")</f>
        <v/>
      </c>
      <c r="O31" s="56" t="str">
        <f>IF(AND('Mapa final'!$AG$39="Media",'Mapa final'!$AI$39="Leve"),CONCATENATE("R6C",'Mapa final'!$S$39),"")</f>
        <v/>
      </c>
      <c r="P31" s="54" t="str">
        <f ca="1">IF(AND('Mapa final'!$AG$34="Media",'Mapa final'!$AI$34="Menor"),CONCATENATE("R6C",'Mapa final'!$S$34),"")</f>
        <v/>
      </c>
      <c r="Q31" s="55" t="str">
        <f ca="1">IF(AND('Mapa final'!$AG$35="Media",'Mapa final'!$AI$35="Menor"),CONCATENATE("R6C",'Mapa final'!$S$35),"")</f>
        <v/>
      </c>
      <c r="R31" s="55" t="str">
        <f ca="1">IF(AND('Mapa final'!$AG$36="Media",'Mapa final'!$AI$36="Menor"),CONCATENATE("R6C",'Mapa final'!$S$36),"")</f>
        <v/>
      </c>
      <c r="S31" s="55" t="str">
        <f ca="1">IF(AND('Mapa final'!$AG$37="Media",'Mapa final'!$AI$37="Menor"),CONCATENATE("R6C",'Mapa final'!$S$37),"")</f>
        <v/>
      </c>
      <c r="T31" s="55" t="str">
        <f>IF(AND('Mapa final'!$AG$38="Media",'Mapa final'!$AI$38="Menor"),CONCATENATE("R6C",'Mapa final'!$S$38),"")</f>
        <v/>
      </c>
      <c r="U31" s="56" t="str">
        <f>IF(AND('Mapa final'!$AG$39="Media",'Mapa final'!$AI$39="Menor"),CONCATENATE("R6C",'Mapa final'!$S$39),"")</f>
        <v/>
      </c>
      <c r="V31" s="54" t="str">
        <f ca="1">IF(AND('Mapa final'!$AG$34="Media",'Mapa final'!$AI$34="Moderado"),CONCATENATE("R6C",'Mapa final'!$S$34),"")</f>
        <v/>
      </c>
      <c r="W31" s="55" t="str">
        <f ca="1">IF(AND('Mapa final'!$AG$35="Media",'Mapa final'!$AI$35="Moderado"),CONCATENATE("R6C",'Mapa final'!$S$35),"")</f>
        <v/>
      </c>
      <c r="X31" s="55" t="str">
        <f ca="1">IF(AND('Mapa final'!$AG$36="Media",'Mapa final'!$AI$36="Moderado"),CONCATENATE("R6C",'Mapa final'!$S$36),"")</f>
        <v/>
      </c>
      <c r="Y31" s="55" t="str">
        <f ca="1">IF(AND('Mapa final'!$AG$37="Media",'Mapa final'!$AI$37="Moderado"),CONCATENATE("R6C",'Mapa final'!$S$37),"")</f>
        <v/>
      </c>
      <c r="Z31" s="55" t="str">
        <f>IF(AND('Mapa final'!$AG$38="Media",'Mapa final'!$AI$38="Moderado"),CONCATENATE("R6C",'Mapa final'!$S$38),"")</f>
        <v/>
      </c>
      <c r="AA31" s="56" t="str">
        <f>IF(AND('Mapa final'!$AG$39="Media",'Mapa final'!$AI$39="Moderado"),CONCATENATE("R6C",'Mapa final'!$S$39),"")</f>
        <v/>
      </c>
      <c r="AB31" s="38" t="str">
        <f ca="1">IF(AND('Mapa final'!$AG$34="Media",'Mapa final'!$AI$34="Mayor"),CONCATENATE("R6C",'Mapa final'!$S$34),"")</f>
        <v/>
      </c>
      <c r="AC31" s="39" t="str">
        <f ca="1">IF(AND('Mapa final'!$AG$35="Media",'Mapa final'!$AI$35="Mayor"),CONCATENATE("R6C",'Mapa final'!$S$35),"")</f>
        <v/>
      </c>
      <c r="AD31" s="44" t="str">
        <f ca="1">IF(AND('Mapa final'!$AG$36="Media",'Mapa final'!$AI$36="Mayor"),CONCATENATE("R6C",'Mapa final'!$S$36),"")</f>
        <v/>
      </c>
      <c r="AE31" s="44" t="str">
        <f ca="1">IF(AND('Mapa final'!$AG$37="Media",'Mapa final'!$AI$37="Mayor"),CONCATENATE("R6C",'Mapa final'!$S$37),"")</f>
        <v/>
      </c>
      <c r="AF31" s="44" t="str">
        <f>IF(AND('Mapa final'!$AG$38="Media",'Mapa final'!$AI$38="Mayor"),CONCATENATE("R6C",'Mapa final'!$S$38),"")</f>
        <v/>
      </c>
      <c r="AG31" s="40" t="str">
        <f>IF(AND('Mapa final'!$AG$39="Media",'Mapa final'!$AI$39="Mayor"),CONCATENATE("R6C",'Mapa final'!$S$39),"")</f>
        <v/>
      </c>
      <c r="AH31" s="41" t="str">
        <f ca="1">IF(AND('Mapa final'!$AG$34="Media",'Mapa final'!$AI$34="Catastrófico"),CONCATENATE("R6C",'Mapa final'!$S$34),"")</f>
        <v/>
      </c>
      <c r="AI31" s="42" t="str">
        <f ca="1">IF(AND('Mapa final'!$AG$35="Media",'Mapa final'!$AI$35="Catastrófico"),CONCATENATE("R6C",'Mapa final'!$S$35),"")</f>
        <v/>
      </c>
      <c r="AJ31" s="42" t="str">
        <f ca="1">IF(AND('Mapa final'!$AG$36="Media",'Mapa final'!$AI$36="Catastrófico"),CONCATENATE("R6C",'Mapa final'!$S$36),"")</f>
        <v/>
      </c>
      <c r="AK31" s="42" t="str">
        <f ca="1">IF(AND('Mapa final'!$AG$37="Media",'Mapa final'!$AI$37="Catastrófico"),CONCATENATE("R6C",'Mapa final'!$S$37),"")</f>
        <v/>
      </c>
      <c r="AL31" s="42" t="str">
        <f>IF(AND('Mapa final'!$AG$38="Media",'Mapa final'!$AI$38="Catastrófico"),CONCATENATE("R6C",'Mapa final'!$S$38),"")</f>
        <v/>
      </c>
      <c r="AM31" s="43" t="str">
        <f>IF(AND('Mapa final'!$AG$39="Media",'Mapa final'!$AI$39="Catastrófico"),CONCATENATE("R6C",'Mapa final'!$S$39),"")</f>
        <v/>
      </c>
      <c r="AN31" s="70"/>
      <c r="AO31" s="314"/>
      <c r="AP31" s="315"/>
      <c r="AQ31" s="315"/>
      <c r="AR31" s="315"/>
      <c r="AS31" s="315"/>
      <c r="AT31" s="316"/>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183"/>
      <c r="C32" s="183"/>
      <c r="D32" s="184"/>
      <c r="E32" s="284"/>
      <c r="F32" s="285"/>
      <c r="G32" s="285"/>
      <c r="H32" s="285"/>
      <c r="I32" s="300"/>
      <c r="J32" s="54" t="str">
        <f ca="1">IF(AND('Mapa final'!$AG$40="Media",'Mapa final'!$AI$40="Leve"),CONCATENATE("R7C",'Mapa final'!$S$40),"")</f>
        <v/>
      </c>
      <c r="K32" s="55" t="str">
        <f ca="1">IF(AND('Mapa final'!$AG$41="Media",'Mapa final'!$AI$41="Leve"),CONCATENATE("R7C",'Mapa final'!$S$41),"")</f>
        <v/>
      </c>
      <c r="L32" s="55" t="str">
        <f>IF(AND('Mapa final'!$AG$42="Media",'Mapa final'!$AI$42="Leve"),CONCATENATE("R7C",'Mapa final'!$S$42),"")</f>
        <v/>
      </c>
      <c r="M32" s="55" t="str">
        <f>IF(AND('Mapa final'!$AG$43="Media",'Mapa final'!$AI$43="Leve"),CONCATENATE("R7C",'Mapa final'!$S$43),"")</f>
        <v/>
      </c>
      <c r="N32" s="55" t="str">
        <f>IF(AND('Mapa final'!$AG$44="Media",'Mapa final'!$AI$44="Leve"),CONCATENATE("R7C",'Mapa final'!$S$44),"")</f>
        <v/>
      </c>
      <c r="O32" s="56" t="str">
        <f>IF(AND('Mapa final'!$AG$45="Media",'Mapa final'!$AI$45="Leve"),CONCATENATE("R7C",'Mapa final'!$S$45),"")</f>
        <v/>
      </c>
      <c r="P32" s="54" t="str">
        <f ca="1">IF(AND('Mapa final'!$AG$40="Media",'Mapa final'!$AI$40="Menor"),CONCATENATE("R7C",'Mapa final'!$S$40),"")</f>
        <v/>
      </c>
      <c r="Q32" s="55" t="str">
        <f ca="1">IF(AND('Mapa final'!$AG$41="Media",'Mapa final'!$AI$41="Menor"),CONCATENATE("R7C",'Mapa final'!$S$41),"")</f>
        <v/>
      </c>
      <c r="R32" s="55" t="str">
        <f>IF(AND('Mapa final'!$AG$42="Media",'Mapa final'!$AI$42="Menor"),CONCATENATE("R7C",'Mapa final'!$S$42),"")</f>
        <v/>
      </c>
      <c r="S32" s="55" t="str">
        <f>IF(AND('Mapa final'!$AG$43="Media",'Mapa final'!$AI$43="Menor"),CONCATENATE("R7C",'Mapa final'!$S$43),"")</f>
        <v/>
      </c>
      <c r="T32" s="55" t="str">
        <f>IF(AND('Mapa final'!$AG$44="Media",'Mapa final'!$AI$44="Menor"),CONCATENATE("R7C",'Mapa final'!$S$44),"")</f>
        <v/>
      </c>
      <c r="U32" s="56" t="str">
        <f>IF(AND('Mapa final'!$AG$45="Media",'Mapa final'!$AI$45="Menor"),CONCATENATE("R7C",'Mapa final'!$S$45),"")</f>
        <v/>
      </c>
      <c r="V32" s="54" t="str">
        <f ca="1">IF(AND('Mapa final'!$AG$40="Media",'Mapa final'!$AI$40="Moderado"),CONCATENATE("R7C",'Mapa final'!$S$40),"")</f>
        <v/>
      </c>
      <c r="W32" s="55" t="str">
        <f ca="1">IF(AND('Mapa final'!$AG$41="Media",'Mapa final'!$AI$41="Moderado"),CONCATENATE("R7C",'Mapa final'!$S$41),"")</f>
        <v/>
      </c>
      <c r="X32" s="55" t="str">
        <f>IF(AND('Mapa final'!$AG$42="Media",'Mapa final'!$AI$42="Moderado"),CONCATENATE("R7C",'Mapa final'!$S$42),"")</f>
        <v/>
      </c>
      <c r="Y32" s="55" t="str">
        <f>IF(AND('Mapa final'!$AG$43="Media",'Mapa final'!$AI$43="Moderado"),CONCATENATE("R7C",'Mapa final'!$S$43),"")</f>
        <v/>
      </c>
      <c r="Z32" s="55" t="str">
        <f>IF(AND('Mapa final'!$AG$44="Media",'Mapa final'!$AI$44="Moderado"),CONCATENATE("R7C",'Mapa final'!$S$44),"")</f>
        <v/>
      </c>
      <c r="AA32" s="56" t="str">
        <f>IF(AND('Mapa final'!$AG$45="Media",'Mapa final'!$AI$45="Moderado"),CONCATENATE("R7C",'Mapa final'!$S$45),"")</f>
        <v/>
      </c>
      <c r="AB32" s="38" t="str">
        <f ca="1">IF(AND('Mapa final'!$AG$40="Media",'Mapa final'!$AI$40="Mayor"),CONCATENATE("R7C",'Mapa final'!$S$40),"")</f>
        <v/>
      </c>
      <c r="AC32" s="39" t="str">
        <f ca="1">IF(AND('Mapa final'!$AG$41="Media",'Mapa final'!$AI$41="Mayor"),CONCATENATE("R7C",'Mapa final'!$S$41),"")</f>
        <v/>
      </c>
      <c r="AD32" s="44" t="str">
        <f>IF(AND('Mapa final'!$AG$42="Media",'Mapa final'!$AI$42="Mayor"),CONCATENATE("R7C",'Mapa final'!$S$42),"")</f>
        <v/>
      </c>
      <c r="AE32" s="44" t="str">
        <f>IF(AND('Mapa final'!$AG$43="Media",'Mapa final'!$AI$43="Mayor"),CONCATENATE("R7C",'Mapa final'!$S$43),"")</f>
        <v/>
      </c>
      <c r="AF32" s="44" t="str">
        <f>IF(AND('Mapa final'!$AG$44="Media",'Mapa final'!$AI$44="Mayor"),CONCATENATE("R7C",'Mapa final'!$S$44),"")</f>
        <v/>
      </c>
      <c r="AG32" s="40" t="str">
        <f>IF(AND('Mapa final'!$AG$45="Media",'Mapa final'!$AI$45="Mayor"),CONCATENATE("R7C",'Mapa final'!$S$45),"")</f>
        <v/>
      </c>
      <c r="AH32" s="41" t="str">
        <f ca="1">IF(AND('Mapa final'!$AG$40="Media",'Mapa final'!$AI$40="Catastrófico"),CONCATENATE("R7C",'Mapa final'!$S$40),"")</f>
        <v/>
      </c>
      <c r="AI32" s="42" t="str">
        <f ca="1">IF(AND('Mapa final'!$AG$41="Media",'Mapa final'!$AI$41="Catastrófico"),CONCATENATE("R7C",'Mapa final'!$S$41),"")</f>
        <v/>
      </c>
      <c r="AJ32" s="42" t="str">
        <f>IF(AND('Mapa final'!$AG$42="Media",'Mapa final'!$AI$42="Catastrófico"),CONCATENATE("R7C",'Mapa final'!$S$42),"")</f>
        <v/>
      </c>
      <c r="AK32" s="42" t="str">
        <f>IF(AND('Mapa final'!$AG$43="Media",'Mapa final'!$AI$43="Catastrófico"),CONCATENATE("R7C",'Mapa final'!$S$43),"")</f>
        <v/>
      </c>
      <c r="AL32" s="42" t="str">
        <f>IF(AND('Mapa final'!$AG$44="Media",'Mapa final'!$AI$44="Catastrófico"),CONCATENATE("R7C",'Mapa final'!$S$44),"")</f>
        <v/>
      </c>
      <c r="AM32" s="43" t="str">
        <f>IF(AND('Mapa final'!$AG$45="Media",'Mapa final'!$AI$45="Catastrófico"),CONCATENATE("R7C",'Mapa final'!$S$45),"")</f>
        <v/>
      </c>
      <c r="AN32" s="70"/>
      <c r="AO32" s="314"/>
      <c r="AP32" s="315"/>
      <c r="AQ32" s="315"/>
      <c r="AR32" s="315"/>
      <c r="AS32" s="315"/>
      <c r="AT32" s="316"/>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183"/>
      <c r="C33" s="183"/>
      <c r="D33" s="184"/>
      <c r="E33" s="284"/>
      <c r="F33" s="285"/>
      <c r="G33" s="285"/>
      <c r="H33" s="285"/>
      <c r="I33" s="300"/>
      <c r="J33" s="54" t="str">
        <f ca="1">IF(AND('Mapa final'!$AG$46="Media",'Mapa final'!$AI$46="Leve"),CONCATENATE("R8C",'Mapa final'!$S$46),"")</f>
        <v/>
      </c>
      <c r="K33" s="55" t="str">
        <f ca="1">IF(AND('Mapa final'!$AG$47="Media",'Mapa final'!$AI$47="Leve"),CONCATENATE("R8C",'Mapa final'!$S$47),"")</f>
        <v/>
      </c>
      <c r="L33" s="55" t="str">
        <f ca="1">IF(AND('Mapa final'!$AG$48="Media",'Mapa final'!$AI$48="Leve"),CONCATENATE("R8C",'Mapa final'!$S$48),"")</f>
        <v/>
      </c>
      <c r="M33" s="55" t="str">
        <f ca="1">IF(AND('Mapa final'!$AG$49="Media",'Mapa final'!$AI$49="Leve"),CONCATENATE("R8C",'Mapa final'!$S$49),"")</f>
        <v/>
      </c>
      <c r="N33" s="55" t="str">
        <f>IF(AND('Mapa final'!$AG$50="Media",'Mapa final'!$AI$50="Leve"),CONCATENATE("R8C",'Mapa final'!$S$50),"")</f>
        <v/>
      </c>
      <c r="O33" s="56" t="str">
        <f>IF(AND('Mapa final'!$AG$51="Media",'Mapa final'!$AI$51="Leve"),CONCATENATE("R8C",'Mapa final'!$S$51),"")</f>
        <v/>
      </c>
      <c r="P33" s="54" t="str">
        <f ca="1">IF(AND('Mapa final'!$AG$46="Media",'Mapa final'!$AI$46="Menor"),CONCATENATE("R8C",'Mapa final'!$S$46),"")</f>
        <v/>
      </c>
      <c r="Q33" s="55" t="str">
        <f ca="1">IF(AND('Mapa final'!$AG$47="Media",'Mapa final'!$AI$47="Menor"),CONCATENATE("R8C",'Mapa final'!$S$47),"")</f>
        <v/>
      </c>
      <c r="R33" s="55" t="str">
        <f ca="1">IF(AND('Mapa final'!$AG$48="Media",'Mapa final'!$AI$48="Menor"),CONCATENATE("R8C",'Mapa final'!$S$48),"")</f>
        <v/>
      </c>
      <c r="S33" s="55" t="str">
        <f ca="1">IF(AND('Mapa final'!$AG$49="Media",'Mapa final'!$AI$49="Menor"),CONCATENATE("R8C",'Mapa final'!$S$49),"")</f>
        <v/>
      </c>
      <c r="T33" s="55" t="str">
        <f>IF(AND('Mapa final'!$AG$50="Media",'Mapa final'!$AI$50="Menor"),CONCATENATE("R8C",'Mapa final'!$S$50),"")</f>
        <v/>
      </c>
      <c r="U33" s="56" t="str">
        <f>IF(AND('Mapa final'!$AG$51="Media",'Mapa final'!$AI$51="Menor"),CONCATENATE("R8C",'Mapa final'!$S$51),"")</f>
        <v/>
      </c>
      <c r="V33" s="54" t="str">
        <f ca="1">IF(AND('Mapa final'!$AG$46="Media",'Mapa final'!$AI$46="Moderado"),CONCATENATE("R8C",'Mapa final'!$S$46),"")</f>
        <v/>
      </c>
      <c r="W33" s="55" t="str">
        <f ca="1">IF(AND('Mapa final'!$AG$47="Media",'Mapa final'!$AI$47="Moderado"),CONCATENATE("R8C",'Mapa final'!$S$47),"")</f>
        <v/>
      </c>
      <c r="X33" s="55" t="str">
        <f ca="1">IF(AND('Mapa final'!$AG$48="Media",'Mapa final'!$AI$48="Moderado"),CONCATENATE("R8C",'Mapa final'!$S$48),"")</f>
        <v/>
      </c>
      <c r="Y33" s="55" t="str">
        <f ca="1">IF(AND('Mapa final'!$AG$49="Media",'Mapa final'!$AI$49="Moderado"),CONCATENATE("R8C",'Mapa final'!$S$49),"")</f>
        <v/>
      </c>
      <c r="Z33" s="55" t="str">
        <f>IF(AND('Mapa final'!$AG$50="Media",'Mapa final'!$AI$50="Moderado"),CONCATENATE("R8C",'Mapa final'!$S$50),"")</f>
        <v/>
      </c>
      <c r="AA33" s="56" t="str">
        <f>IF(AND('Mapa final'!$AG$51="Media",'Mapa final'!$AI$51="Moderado"),CONCATENATE("R8C",'Mapa final'!$S$51),"")</f>
        <v/>
      </c>
      <c r="AB33" s="38" t="str">
        <f ca="1">IF(AND('Mapa final'!$AG$46="Media",'Mapa final'!$AI$46="Mayor"),CONCATENATE("R8C",'Mapa final'!$S$46),"")</f>
        <v/>
      </c>
      <c r="AC33" s="39" t="str">
        <f ca="1">IF(AND('Mapa final'!$AG$47="Media",'Mapa final'!$AI$47="Mayor"),CONCATENATE("R8C",'Mapa final'!$S$47),"")</f>
        <v/>
      </c>
      <c r="AD33" s="44" t="str">
        <f ca="1">IF(AND('Mapa final'!$AG$48="Media",'Mapa final'!$AI$48="Mayor"),CONCATENATE("R8C",'Mapa final'!$S$48),"")</f>
        <v/>
      </c>
      <c r="AE33" s="44" t="str">
        <f ca="1">IF(AND('Mapa final'!$AG$49="Media",'Mapa final'!$AI$49="Mayor"),CONCATENATE("R8C",'Mapa final'!$S$49),"")</f>
        <v/>
      </c>
      <c r="AF33" s="44" t="str">
        <f>IF(AND('Mapa final'!$AG$50="Media",'Mapa final'!$AI$50="Mayor"),CONCATENATE("R8C",'Mapa final'!$S$50),"")</f>
        <v/>
      </c>
      <c r="AG33" s="40" t="str">
        <f>IF(AND('Mapa final'!$AG$51="Media",'Mapa final'!$AI$51="Mayor"),CONCATENATE("R8C",'Mapa final'!$S$51),"")</f>
        <v/>
      </c>
      <c r="AH33" s="41" t="str">
        <f ca="1">IF(AND('Mapa final'!$AG$46="Media",'Mapa final'!$AI$46="Catastrófico"),CONCATENATE("R8C",'Mapa final'!$S$46),"")</f>
        <v/>
      </c>
      <c r="AI33" s="42" t="str">
        <f ca="1">IF(AND('Mapa final'!$AG$47="Media",'Mapa final'!$AI$47="Catastrófico"),CONCATENATE("R8C",'Mapa final'!$S$47),"")</f>
        <v/>
      </c>
      <c r="AJ33" s="42" t="str">
        <f ca="1">IF(AND('Mapa final'!$AG$48="Media",'Mapa final'!$AI$48="Catastrófico"),CONCATENATE("R8C",'Mapa final'!$S$48),"")</f>
        <v/>
      </c>
      <c r="AK33" s="42" t="str">
        <f ca="1">IF(AND('Mapa final'!$AG$49="Media",'Mapa final'!$AI$49="Catastrófico"),CONCATENATE("R8C",'Mapa final'!$S$49),"")</f>
        <v/>
      </c>
      <c r="AL33" s="42" t="str">
        <f>IF(AND('Mapa final'!$AG$50="Media",'Mapa final'!$AI$50="Catastrófico"),CONCATENATE("R8C",'Mapa final'!$S$50),"")</f>
        <v/>
      </c>
      <c r="AM33" s="43" t="str">
        <f>IF(AND('Mapa final'!$AG$51="Media",'Mapa final'!$AI$51="Catastrófico"),CONCATENATE("R8C",'Mapa final'!$S$51),"")</f>
        <v/>
      </c>
      <c r="AN33" s="70"/>
      <c r="AO33" s="314"/>
      <c r="AP33" s="315"/>
      <c r="AQ33" s="315"/>
      <c r="AR33" s="315"/>
      <c r="AS33" s="315"/>
      <c r="AT33" s="316"/>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183"/>
      <c r="C34" s="183"/>
      <c r="D34" s="184"/>
      <c r="E34" s="284"/>
      <c r="F34" s="285"/>
      <c r="G34" s="285"/>
      <c r="H34" s="285"/>
      <c r="I34" s="300"/>
      <c r="J34" s="54" t="str">
        <f ca="1">IF(AND('Mapa final'!$AG$52="Media",'Mapa final'!$AI$52="Leve"),CONCATENATE("R9C",'Mapa final'!$S$52),"")</f>
        <v/>
      </c>
      <c r="K34" s="55" t="str">
        <f ca="1">IF(AND('Mapa final'!$AG$53="Media",'Mapa final'!$AI$53="Leve"),CONCATENATE("R9C",'Mapa final'!$S$53),"")</f>
        <v/>
      </c>
      <c r="L34" s="55" t="str">
        <f ca="1">IF(AND('Mapa final'!$AG$54="Media",'Mapa final'!$AI$54="Leve"),CONCATENATE("R9C",'Mapa final'!$S$54),"")</f>
        <v/>
      </c>
      <c r="M34" s="55" t="str">
        <f ca="1">IF(AND('Mapa final'!$AG$55="Media",'Mapa final'!$AI$55="Leve"),CONCATENATE("R9C",'Mapa final'!$S$55),"")</f>
        <v/>
      </c>
      <c r="N34" s="55" t="str">
        <f>IF(AND('Mapa final'!$AG$56="Media",'Mapa final'!$AI$56="Leve"),CONCATENATE("R9C",'Mapa final'!$S$56),"")</f>
        <v/>
      </c>
      <c r="O34" s="56" t="str">
        <f>IF(AND('Mapa final'!$AG$57="Media",'Mapa final'!$AI$57="Leve"),CONCATENATE("R9C",'Mapa final'!$S$57),"")</f>
        <v/>
      </c>
      <c r="P34" s="54" t="str">
        <f ca="1">IF(AND('Mapa final'!$AG$52="Media",'Mapa final'!$AI$52="Menor"),CONCATENATE("R9C",'Mapa final'!$S$52),"")</f>
        <v/>
      </c>
      <c r="Q34" s="55" t="str">
        <f ca="1">IF(AND('Mapa final'!$AG$53="Media",'Mapa final'!$AI$53="Menor"),CONCATENATE("R9C",'Mapa final'!$S$53),"")</f>
        <v/>
      </c>
      <c r="R34" s="55" t="str">
        <f ca="1">IF(AND('Mapa final'!$AG$54="Media",'Mapa final'!$AI$54="Menor"),CONCATENATE("R9C",'Mapa final'!$S$54),"")</f>
        <v/>
      </c>
      <c r="S34" s="55" t="str">
        <f ca="1">IF(AND('Mapa final'!$AG$55="Media",'Mapa final'!$AI$55="Menor"),CONCATENATE("R9C",'Mapa final'!$S$55),"")</f>
        <v/>
      </c>
      <c r="T34" s="55" t="str">
        <f>IF(AND('Mapa final'!$AG$56="Media",'Mapa final'!$AI$56="Menor"),CONCATENATE("R9C",'Mapa final'!$S$56),"")</f>
        <v/>
      </c>
      <c r="U34" s="56" t="str">
        <f>IF(AND('Mapa final'!$AG$57="Media",'Mapa final'!$AI$57="Menor"),CONCATENATE("R9C",'Mapa final'!$S$57),"")</f>
        <v/>
      </c>
      <c r="V34" s="54" t="str">
        <f ca="1">IF(AND('Mapa final'!$AG$52="Media",'Mapa final'!$AI$52="Moderado"),CONCATENATE("R9C",'Mapa final'!$S$52),"")</f>
        <v/>
      </c>
      <c r="W34" s="55" t="str">
        <f ca="1">IF(AND('Mapa final'!$AG$53="Media",'Mapa final'!$AI$53="Moderado"),CONCATENATE("R9C",'Mapa final'!$S$53),"")</f>
        <v/>
      </c>
      <c r="X34" s="55" t="str">
        <f ca="1">IF(AND('Mapa final'!$AG$54="Media",'Mapa final'!$AI$54="Moderado"),CONCATENATE("R9C",'Mapa final'!$S$54),"")</f>
        <v/>
      </c>
      <c r="Y34" s="55" t="str">
        <f ca="1">IF(AND('Mapa final'!$AG$55="Media",'Mapa final'!$AI$55="Moderado"),CONCATENATE("R9C",'Mapa final'!$S$55),"")</f>
        <v/>
      </c>
      <c r="Z34" s="55" t="str">
        <f>IF(AND('Mapa final'!$AG$56="Media",'Mapa final'!$AI$56="Moderado"),CONCATENATE("R9C",'Mapa final'!$S$56),"")</f>
        <v/>
      </c>
      <c r="AA34" s="56" t="str">
        <f>IF(AND('Mapa final'!$AG$57="Media",'Mapa final'!$AI$57="Moderado"),CONCATENATE("R9C",'Mapa final'!$S$57),"")</f>
        <v/>
      </c>
      <c r="AB34" s="38" t="str">
        <f ca="1">IF(AND('Mapa final'!$AG$52="Media",'Mapa final'!$AI$52="Mayor"),CONCATENATE("R9C",'Mapa final'!$S$52),"")</f>
        <v/>
      </c>
      <c r="AC34" s="39" t="str">
        <f ca="1">IF(AND('Mapa final'!$AG$53="Media",'Mapa final'!$AI$53="Mayor"),CONCATENATE("R9C",'Mapa final'!$S$53),"")</f>
        <v/>
      </c>
      <c r="AD34" s="44" t="str">
        <f ca="1">IF(AND('Mapa final'!$AG$54="Media",'Mapa final'!$AI$54="Mayor"),CONCATENATE("R9C",'Mapa final'!$S$54),"")</f>
        <v/>
      </c>
      <c r="AE34" s="44" t="str">
        <f ca="1">IF(AND('Mapa final'!$AG$55="Media",'Mapa final'!$AI$55="Mayor"),CONCATENATE("R9C",'Mapa final'!$S$55),"")</f>
        <v/>
      </c>
      <c r="AF34" s="44" t="str">
        <f>IF(AND('Mapa final'!$AG$56="Media",'Mapa final'!$AI$56="Mayor"),CONCATENATE("R9C",'Mapa final'!$S$56),"")</f>
        <v/>
      </c>
      <c r="AG34" s="40" t="str">
        <f>IF(AND('Mapa final'!$AG$57="Media",'Mapa final'!$AI$57="Mayor"),CONCATENATE("R9C",'Mapa final'!$S$57),"")</f>
        <v/>
      </c>
      <c r="AH34" s="41" t="str">
        <f ca="1">IF(AND('Mapa final'!$AG$52="Media",'Mapa final'!$AI$52="Catastrófico"),CONCATENATE("R9C",'Mapa final'!$S$52),"")</f>
        <v/>
      </c>
      <c r="AI34" s="42" t="str">
        <f ca="1">IF(AND('Mapa final'!$AG$53="Media",'Mapa final'!$AI$53="Catastrófico"),CONCATENATE("R9C",'Mapa final'!$S$53),"")</f>
        <v/>
      </c>
      <c r="AJ34" s="42" t="str">
        <f ca="1">IF(AND('Mapa final'!$AG$54="Media",'Mapa final'!$AI$54="Catastrófico"),CONCATENATE("R9C",'Mapa final'!$S$54),"")</f>
        <v/>
      </c>
      <c r="AK34" s="42" t="str">
        <f ca="1">IF(AND('Mapa final'!$AG$55="Media",'Mapa final'!$AI$55="Catastrófico"),CONCATENATE("R9C",'Mapa final'!$S$55),"")</f>
        <v/>
      </c>
      <c r="AL34" s="42" t="str">
        <f>IF(AND('Mapa final'!$AG$56="Media",'Mapa final'!$AI$56="Catastrófico"),CONCATENATE("R9C",'Mapa final'!$S$56),"")</f>
        <v/>
      </c>
      <c r="AM34" s="43" t="str">
        <f>IF(AND('Mapa final'!$AG$57="Media",'Mapa final'!$AI$57="Catastrófico"),CONCATENATE("R9C",'Mapa final'!$S$57),"")</f>
        <v/>
      </c>
      <c r="AN34" s="70"/>
      <c r="AO34" s="314"/>
      <c r="AP34" s="315"/>
      <c r="AQ34" s="315"/>
      <c r="AR34" s="315"/>
      <c r="AS34" s="315"/>
      <c r="AT34" s="316"/>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183"/>
      <c r="C35" s="183"/>
      <c r="D35" s="184"/>
      <c r="E35" s="286"/>
      <c r="F35" s="287"/>
      <c r="G35" s="287"/>
      <c r="H35" s="287"/>
      <c r="I35" s="301"/>
      <c r="J35" s="54" t="e">
        <f>IF(AND('Mapa final'!#REF!="Media",'Mapa final'!#REF!="Leve"),CONCATENATE("R10C",'Mapa final'!#REF!),"")</f>
        <v>#REF!</v>
      </c>
      <c r="K35" s="55" t="e">
        <f>IF(AND('Mapa final'!#REF!="Media",'Mapa final'!#REF!="Leve"),CONCATENATE("R10C",'Mapa final'!#REF!),"")</f>
        <v>#REF!</v>
      </c>
      <c r="L35" s="55" t="e">
        <f>IF(AND('Mapa final'!#REF!="Media",'Mapa final'!#REF!="Leve"),CONCATENATE("R10C",'Mapa final'!#REF!),"")</f>
        <v>#REF!</v>
      </c>
      <c r="M35" s="55" t="e">
        <f>IF(AND('Mapa final'!#REF!="Media",'Mapa final'!#REF!="Leve"),CONCATENATE("R10C",'Mapa final'!#REF!),"")</f>
        <v>#REF!</v>
      </c>
      <c r="N35" s="55" t="e">
        <f>IF(AND('Mapa final'!#REF!="Media",'Mapa final'!#REF!="Leve"),CONCATENATE("R10C",'Mapa final'!#REF!),"")</f>
        <v>#REF!</v>
      </c>
      <c r="O35" s="56" t="e">
        <f>IF(AND('Mapa final'!#REF!="Media",'Mapa final'!#REF!="Leve"),CONCATENATE("R10C",'Mapa final'!#REF!),"")</f>
        <v>#REF!</v>
      </c>
      <c r="P35" s="54" t="e">
        <f>IF(AND('Mapa final'!#REF!="Media",'Mapa final'!#REF!="Menor"),CONCATENATE("R10C",'Mapa final'!#REF!),"")</f>
        <v>#REF!</v>
      </c>
      <c r="Q35" s="55" t="e">
        <f>IF(AND('Mapa final'!#REF!="Media",'Mapa final'!#REF!="Menor"),CONCATENATE("R10C",'Mapa final'!#REF!),"")</f>
        <v>#REF!</v>
      </c>
      <c r="R35" s="55" t="e">
        <f>IF(AND('Mapa final'!#REF!="Media",'Mapa final'!#REF!="Menor"),CONCATENATE("R10C",'Mapa final'!#REF!),"")</f>
        <v>#REF!</v>
      </c>
      <c r="S35" s="55" t="e">
        <f>IF(AND('Mapa final'!#REF!="Media",'Mapa final'!#REF!="Menor"),CONCATENATE("R10C",'Mapa final'!#REF!),"")</f>
        <v>#REF!</v>
      </c>
      <c r="T35" s="55" t="e">
        <f>IF(AND('Mapa final'!#REF!="Media",'Mapa final'!#REF!="Menor"),CONCATENATE("R10C",'Mapa final'!#REF!),"")</f>
        <v>#REF!</v>
      </c>
      <c r="U35" s="56" t="e">
        <f>IF(AND('Mapa final'!#REF!="Media",'Mapa final'!#REF!="Menor"),CONCATENATE("R10C",'Mapa final'!#REF!),"")</f>
        <v>#REF!</v>
      </c>
      <c r="V35" s="54" t="e">
        <f>IF(AND('Mapa final'!#REF!="Media",'Mapa final'!#REF!="Moderado"),CONCATENATE("R10C",'Mapa final'!#REF!),"")</f>
        <v>#REF!</v>
      </c>
      <c r="W35" s="55" t="e">
        <f>IF(AND('Mapa final'!#REF!="Media",'Mapa final'!#REF!="Moderado"),CONCATENATE("R10C",'Mapa final'!#REF!),"")</f>
        <v>#REF!</v>
      </c>
      <c r="X35" s="55" t="e">
        <f>IF(AND('Mapa final'!#REF!="Media",'Mapa final'!#REF!="Moderado"),CONCATENATE("R10C",'Mapa final'!#REF!),"")</f>
        <v>#REF!</v>
      </c>
      <c r="Y35" s="55" t="e">
        <f>IF(AND('Mapa final'!#REF!="Media",'Mapa final'!#REF!="Moderado"),CONCATENATE("R10C",'Mapa final'!#REF!),"")</f>
        <v>#REF!</v>
      </c>
      <c r="Z35" s="55" t="e">
        <f>IF(AND('Mapa final'!#REF!="Media",'Mapa final'!#REF!="Moderado"),CONCATENATE("R10C",'Mapa final'!#REF!),"")</f>
        <v>#REF!</v>
      </c>
      <c r="AA35" s="56" t="e">
        <f>IF(AND('Mapa final'!#REF!="Media",'Mapa final'!#REF!="Moderado"),CONCATENATE("R10C",'Mapa final'!#REF!),"")</f>
        <v>#REF!</v>
      </c>
      <c r="AB35" s="45" t="e">
        <f>IF(AND('Mapa final'!#REF!="Media",'Mapa final'!#REF!="Mayor"),CONCATENATE("R10C",'Mapa final'!#REF!),"")</f>
        <v>#REF!</v>
      </c>
      <c r="AC35" s="46" t="e">
        <f>IF(AND('Mapa final'!#REF!="Media",'Mapa final'!#REF!="Mayor"),CONCATENATE("R10C",'Mapa final'!#REF!),"")</f>
        <v>#REF!</v>
      </c>
      <c r="AD35" s="46" t="e">
        <f>IF(AND('Mapa final'!#REF!="Media",'Mapa final'!#REF!="Mayor"),CONCATENATE("R10C",'Mapa final'!#REF!),"")</f>
        <v>#REF!</v>
      </c>
      <c r="AE35" s="46" t="e">
        <f>IF(AND('Mapa final'!#REF!="Media",'Mapa final'!#REF!="Mayor"),CONCATENATE("R10C",'Mapa final'!#REF!),"")</f>
        <v>#REF!</v>
      </c>
      <c r="AF35" s="46" t="e">
        <f>IF(AND('Mapa final'!#REF!="Media",'Mapa final'!#REF!="Mayor"),CONCATENATE("R10C",'Mapa final'!#REF!),"")</f>
        <v>#REF!</v>
      </c>
      <c r="AG35" s="47" t="e">
        <f>IF(AND('Mapa final'!#REF!="Media",'Mapa final'!#REF!="Mayor"),CONCATENATE("R10C",'Mapa final'!#REF!),"")</f>
        <v>#REF!</v>
      </c>
      <c r="AH35" s="48" t="e">
        <f>IF(AND('Mapa final'!#REF!="Media",'Mapa final'!#REF!="Catastrófico"),CONCATENATE("R10C",'Mapa final'!#REF!),"")</f>
        <v>#REF!</v>
      </c>
      <c r="AI35" s="49" t="e">
        <f>IF(AND('Mapa final'!#REF!="Media",'Mapa final'!#REF!="Catastrófico"),CONCATENATE("R10C",'Mapa final'!#REF!),"")</f>
        <v>#REF!</v>
      </c>
      <c r="AJ35" s="49" t="e">
        <f>IF(AND('Mapa final'!#REF!="Media",'Mapa final'!#REF!="Catastrófico"),CONCATENATE("R10C",'Mapa final'!#REF!),"")</f>
        <v>#REF!</v>
      </c>
      <c r="AK35" s="49" t="e">
        <f>IF(AND('Mapa final'!#REF!="Media",'Mapa final'!#REF!="Catastrófico"),CONCATENATE("R10C",'Mapa final'!#REF!),"")</f>
        <v>#REF!</v>
      </c>
      <c r="AL35" s="49" t="e">
        <f>IF(AND('Mapa final'!#REF!="Media",'Mapa final'!#REF!="Catastrófico"),CONCATENATE("R10C",'Mapa final'!#REF!),"")</f>
        <v>#REF!</v>
      </c>
      <c r="AM35" s="50" t="e">
        <f>IF(AND('Mapa final'!#REF!="Media",'Mapa final'!#REF!="Catastrófico"),CONCATENATE("R10C",'Mapa final'!#REF!),"")</f>
        <v>#REF!</v>
      </c>
      <c r="AN35" s="70"/>
      <c r="AO35" s="317"/>
      <c r="AP35" s="318"/>
      <c r="AQ35" s="318"/>
      <c r="AR35" s="318"/>
      <c r="AS35" s="318"/>
      <c r="AT35" s="319"/>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183"/>
      <c r="C36" s="183"/>
      <c r="D36" s="184"/>
      <c r="E36" s="280" t="s">
        <v>112</v>
      </c>
      <c r="F36" s="281"/>
      <c r="G36" s="281"/>
      <c r="H36" s="281"/>
      <c r="I36" s="281"/>
      <c r="J36" s="60" t="str">
        <f ca="1">IF(AND('Mapa final'!$AG$4="Baja",'Mapa final'!$AI$4="Leve"),CONCATENATE("R1C",'Mapa final'!$S$4),"")</f>
        <v/>
      </c>
      <c r="K36" s="61" t="str">
        <f>IF(AND('Mapa final'!$AG$5="Baja",'Mapa final'!$AI$5="Leve"),CONCATENATE("R1C",'Mapa final'!$S$5),"")</f>
        <v/>
      </c>
      <c r="L36" s="61" t="str">
        <f>IF(AND('Mapa final'!$AG$6="Baja",'Mapa final'!$AI$6="Leve"),CONCATENATE("R1C",'Mapa final'!$S$6),"")</f>
        <v/>
      </c>
      <c r="M36" s="61" t="str">
        <f>IF(AND('Mapa final'!$AG$7="Baja",'Mapa final'!$AI$7="Leve"),CONCATENATE("R1C",'Mapa final'!$S$7),"")</f>
        <v/>
      </c>
      <c r="N36" s="61" t="str">
        <f>IF(AND('Mapa final'!$AG$8="Baja",'Mapa final'!$AI$8="Leve"),CONCATENATE("R1C",'Mapa final'!$S$8),"")</f>
        <v/>
      </c>
      <c r="O36" s="62" t="str">
        <f>IF(AND('Mapa final'!$AG$9="Baja",'Mapa final'!$AI$9="Leve"),CONCATENATE("R1C",'Mapa final'!$S$9),"")</f>
        <v/>
      </c>
      <c r="P36" s="51" t="str">
        <f ca="1">IF(AND('Mapa final'!$AG$4="Baja",'Mapa final'!$AI$4="Menor"),CONCATENATE("R1C",'Mapa final'!$S$4),"")</f>
        <v/>
      </c>
      <c r="Q36" s="52" t="str">
        <f>IF(AND('Mapa final'!$AG$5="Baja",'Mapa final'!$AI$5="Menor"),CONCATENATE("R1C",'Mapa final'!$S$5),"")</f>
        <v/>
      </c>
      <c r="R36" s="52" t="str">
        <f>IF(AND('Mapa final'!$AG$6="Baja",'Mapa final'!$AI$6="Menor"),CONCATENATE("R1C",'Mapa final'!$S$6),"")</f>
        <v/>
      </c>
      <c r="S36" s="52" t="str">
        <f>IF(AND('Mapa final'!$AG$7="Baja",'Mapa final'!$AI$7="Menor"),CONCATENATE("R1C",'Mapa final'!$S$7),"")</f>
        <v/>
      </c>
      <c r="T36" s="52" t="str">
        <f>IF(AND('Mapa final'!$AG$8="Baja",'Mapa final'!$AI$8="Menor"),CONCATENATE("R1C",'Mapa final'!$S$8),"")</f>
        <v/>
      </c>
      <c r="U36" s="53" t="str">
        <f>IF(AND('Mapa final'!$AG$9="Baja",'Mapa final'!$AI$9="Menor"),CONCATENATE("R1C",'Mapa final'!$S$9),"")</f>
        <v/>
      </c>
      <c r="V36" s="51" t="str">
        <f ca="1">IF(AND('Mapa final'!$AG$4="Baja",'Mapa final'!$AI$4="Moderado"),CONCATENATE("R1C",'Mapa final'!$S$4),"")</f>
        <v>R1C1</v>
      </c>
      <c r="W36" s="52" t="str">
        <f>IF(AND('Mapa final'!$AG$5="Baja",'Mapa final'!$AI$5="Moderado"),CONCATENATE("R1C",'Mapa final'!$S$5),"")</f>
        <v/>
      </c>
      <c r="X36" s="52" t="str">
        <f>IF(AND('Mapa final'!$AG$6="Baja",'Mapa final'!$AI$6="Moderado"),CONCATENATE("R1C",'Mapa final'!$S$6),"")</f>
        <v/>
      </c>
      <c r="Y36" s="52" t="str">
        <f>IF(AND('Mapa final'!$AG$7="Baja",'Mapa final'!$AI$7="Moderado"),CONCATENATE("R1C",'Mapa final'!$S$7),"")</f>
        <v/>
      </c>
      <c r="Z36" s="52" t="str">
        <f>IF(AND('Mapa final'!$AG$8="Baja",'Mapa final'!$AI$8="Moderado"),CONCATENATE("R1C",'Mapa final'!$S$8),"")</f>
        <v/>
      </c>
      <c r="AA36" s="53" t="str">
        <f>IF(AND('Mapa final'!$AG$9="Baja",'Mapa final'!$AI$9="Moderado"),CONCATENATE("R1C",'Mapa final'!$S$9),"")</f>
        <v/>
      </c>
      <c r="AB36" s="32" t="str">
        <f ca="1">IF(AND('Mapa final'!$AG$4="Baja",'Mapa final'!$AI$4="Mayor"),CONCATENATE("R1C",'Mapa final'!$S$4),"")</f>
        <v/>
      </c>
      <c r="AC36" s="33" t="str">
        <f>IF(AND('Mapa final'!$AG$5="Baja",'Mapa final'!$AI$5="Mayor"),CONCATENATE("R1C",'Mapa final'!$S$5),"")</f>
        <v/>
      </c>
      <c r="AD36" s="33" t="str">
        <f>IF(AND('Mapa final'!$AG$6="Baja",'Mapa final'!$AI$6="Mayor"),CONCATENATE("R1C",'Mapa final'!$S$6),"")</f>
        <v/>
      </c>
      <c r="AE36" s="33" t="str">
        <f>IF(AND('Mapa final'!$AG$7="Baja",'Mapa final'!$AI$7="Mayor"),CONCATENATE("R1C",'Mapa final'!$S$7),"")</f>
        <v/>
      </c>
      <c r="AF36" s="33" t="str">
        <f>IF(AND('Mapa final'!$AG$8="Baja",'Mapa final'!$AI$8="Mayor"),CONCATENATE("R1C",'Mapa final'!$S$8),"")</f>
        <v/>
      </c>
      <c r="AG36" s="34" t="str">
        <f>IF(AND('Mapa final'!$AG$9="Baja",'Mapa final'!$AI$9="Mayor"),CONCATENATE("R1C",'Mapa final'!$S$9),"")</f>
        <v/>
      </c>
      <c r="AH36" s="35" t="str">
        <f ca="1">IF(AND('Mapa final'!$AG$4="Baja",'Mapa final'!$AI$4="Catastrófico"),CONCATENATE("R1C",'Mapa final'!$S$4),"")</f>
        <v/>
      </c>
      <c r="AI36" s="36" t="str">
        <f>IF(AND('Mapa final'!$AG$5="Baja",'Mapa final'!$AI$5="Catastrófico"),CONCATENATE("R1C",'Mapa final'!$S$5),"")</f>
        <v/>
      </c>
      <c r="AJ36" s="36" t="str">
        <f>IF(AND('Mapa final'!$AG$6="Baja",'Mapa final'!$AI$6="Catastrófico"),CONCATENATE("R1C",'Mapa final'!$S$6),"")</f>
        <v/>
      </c>
      <c r="AK36" s="36" t="str">
        <f>IF(AND('Mapa final'!$AG$7="Baja",'Mapa final'!$AI$7="Catastrófico"),CONCATENATE("R1C",'Mapa final'!$S$7),"")</f>
        <v/>
      </c>
      <c r="AL36" s="36" t="str">
        <f>IF(AND('Mapa final'!$AG$8="Baja",'Mapa final'!$AI$8="Catastrófico"),CONCATENATE("R1C",'Mapa final'!$S$8),"")</f>
        <v/>
      </c>
      <c r="AM36" s="37" t="str">
        <f>IF(AND('Mapa final'!$AG$9="Baja",'Mapa final'!$AI$9="Catastrófico"),CONCATENATE("R1C",'Mapa final'!$S$9),"")</f>
        <v/>
      </c>
      <c r="AN36" s="70"/>
      <c r="AO36" s="302" t="s">
        <v>80</v>
      </c>
      <c r="AP36" s="303"/>
      <c r="AQ36" s="303"/>
      <c r="AR36" s="303"/>
      <c r="AS36" s="303"/>
      <c r="AT36" s="304"/>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183"/>
      <c r="C37" s="183"/>
      <c r="D37" s="184"/>
      <c r="E37" s="282"/>
      <c r="F37" s="283"/>
      <c r="G37" s="283"/>
      <c r="H37" s="283"/>
      <c r="I37" s="283"/>
      <c r="J37" s="63" t="str">
        <f ca="1">IF(AND('Mapa final'!$AG$10="Baja",'Mapa final'!$AI$10="Leve"),CONCATENATE("R2C",'Mapa final'!$S$10),"")</f>
        <v/>
      </c>
      <c r="K37" s="64" t="str">
        <f ca="1">IF(AND('Mapa final'!$AG$11="Baja",'Mapa final'!$AI$11="Leve"),CONCATENATE("R2C",'Mapa final'!$S$11),"")</f>
        <v/>
      </c>
      <c r="L37" s="64" t="str">
        <f>IF(AND('Mapa final'!$AG$12="Baja",'Mapa final'!$AI$12="Leve"),CONCATENATE("R2C",'Mapa final'!$S$12),"")</f>
        <v/>
      </c>
      <c r="M37" s="64" t="str">
        <f>IF(AND('Mapa final'!$AG$13="Baja",'Mapa final'!$AI$13="Leve"),CONCATENATE("R2C",'Mapa final'!$S$13),"")</f>
        <v/>
      </c>
      <c r="N37" s="64" t="str">
        <f>IF(AND('Mapa final'!$AG$14="Baja",'Mapa final'!$AI$14="Leve"),CONCATENATE("R2C",'Mapa final'!$S$14),"")</f>
        <v/>
      </c>
      <c r="O37" s="65" t="str">
        <f>IF(AND('Mapa final'!$AG$15="Baja",'Mapa final'!$AI$15="Leve"),CONCATENATE("R2C",'Mapa final'!$S$15),"")</f>
        <v/>
      </c>
      <c r="P37" s="54" t="str">
        <f ca="1">IF(AND('Mapa final'!$AG$10="Baja",'Mapa final'!$AI$10="Menor"),CONCATENATE("R2C",'Mapa final'!$S$10),"")</f>
        <v/>
      </c>
      <c r="Q37" s="55" t="str">
        <f ca="1">IF(AND('Mapa final'!$AG$11="Baja",'Mapa final'!$AI$11="Menor"),CONCATENATE("R2C",'Mapa final'!$S$11),"")</f>
        <v/>
      </c>
      <c r="R37" s="55" t="str">
        <f>IF(AND('Mapa final'!$AG$12="Baja",'Mapa final'!$AI$12="Menor"),CONCATENATE("R2C",'Mapa final'!$S$12),"")</f>
        <v/>
      </c>
      <c r="S37" s="55" t="str">
        <f>IF(AND('Mapa final'!$AG$13="Baja",'Mapa final'!$AI$13="Menor"),CONCATENATE("R2C",'Mapa final'!$S$13),"")</f>
        <v/>
      </c>
      <c r="T37" s="55" t="str">
        <f>IF(AND('Mapa final'!$AG$14="Baja",'Mapa final'!$AI$14="Menor"),CONCATENATE("R2C",'Mapa final'!$S$14),"")</f>
        <v/>
      </c>
      <c r="U37" s="56" t="str">
        <f>IF(AND('Mapa final'!$AG$15="Baja",'Mapa final'!$AI$15="Menor"),CONCATENATE("R2C",'Mapa final'!$S$15),"")</f>
        <v/>
      </c>
      <c r="V37" s="54" t="str">
        <f ca="1">IF(AND('Mapa final'!$AG$10="Baja",'Mapa final'!$AI$10="Moderado"),CONCATENATE("R2C",'Mapa final'!$S$10),"")</f>
        <v/>
      </c>
      <c r="W37" s="55" t="str">
        <f ca="1">IF(AND('Mapa final'!$AG$11="Baja",'Mapa final'!$AI$11="Moderado"),CONCATENATE("R2C",'Mapa final'!$S$11),"")</f>
        <v/>
      </c>
      <c r="X37" s="55" t="str">
        <f>IF(AND('Mapa final'!$AG$12="Baja",'Mapa final'!$AI$12="Moderado"),CONCATENATE("R2C",'Mapa final'!$S$12),"")</f>
        <v/>
      </c>
      <c r="Y37" s="55" t="str">
        <f>IF(AND('Mapa final'!$AG$13="Baja",'Mapa final'!$AI$13="Moderado"),CONCATENATE("R2C",'Mapa final'!$S$13),"")</f>
        <v/>
      </c>
      <c r="Z37" s="55" t="str">
        <f>IF(AND('Mapa final'!$AG$14="Baja",'Mapa final'!$AI$14="Moderado"),CONCATENATE("R2C",'Mapa final'!$S$14),"")</f>
        <v/>
      </c>
      <c r="AA37" s="56" t="str">
        <f>IF(AND('Mapa final'!$AG$15="Baja",'Mapa final'!$AI$15="Moderado"),CONCATENATE("R2C",'Mapa final'!$S$15),"")</f>
        <v/>
      </c>
      <c r="AB37" s="38" t="str">
        <f ca="1">IF(AND('Mapa final'!$AG$10="Baja",'Mapa final'!$AI$10="Mayor"),CONCATENATE("R2C",'Mapa final'!$S$10),"")</f>
        <v/>
      </c>
      <c r="AC37" s="39" t="str">
        <f ca="1">IF(AND('Mapa final'!$AG$11="Baja",'Mapa final'!$AI$11="Mayor"),CONCATENATE("R2C",'Mapa final'!$S$11),"")</f>
        <v/>
      </c>
      <c r="AD37" s="39" t="str">
        <f>IF(AND('Mapa final'!$AG$12="Baja",'Mapa final'!$AI$12="Mayor"),CONCATENATE("R2C",'Mapa final'!$S$12),"")</f>
        <v/>
      </c>
      <c r="AE37" s="39" t="str">
        <f>IF(AND('Mapa final'!$AG$13="Baja",'Mapa final'!$AI$13="Mayor"),CONCATENATE("R2C",'Mapa final'!$S$13),"")</f>
        <v/>
      </c>
      <c r="AF37" s="39" t="str">
        <f>IF(AND('Mapa final'!$AG$14="Baja",'Mapa final'!$AI$14="Mayor"),CONCATENATE("R2C",'Mapa final'!$S$14),"")</f>
        <v/>
      </c>
      <c r="AG37" s="40" t="str">
        <f>IF(AND('Mapa final'!$AG$15="Baja",'Mapa final'!$AI$15="Mayor"),CONCATENATE("R2C",'Mapa final'!$S$15),"")</f>
        <v/>
      </c>
      <c r="AH37" s="41" t="str">
        <f ca="1">IF(AND('Mapa final'!$AG$10="Baja",'Mapa final'!$AI$10="Catastrófico"),CONCATENATE("R2C",'Mapa final'!$S$10),"")</f>
        <v>R2C1</v>
      </c>
      <c r="AI37" s="42" t="str">
        <f ca="1">IF(AND('Mapa final'!$AG$11="Baja",'Mapa final'!$AI$11="Catastrófico"),CONCATENATE("R2C",'Mapa final'!$S$11),"")</f>
        <v>R2C2</v>
      </c>
      <c r="AJ37" s="42" t="str">
        <f>IF(AND('Mapa final'!$AG$12="Baja",'Mapa final'!$AI$12="Catastrófico"),CONCATENATE("R2C",'Mapa final'!$S$12),"")</f>
        <v/>
      </c>
      <c r="AK37" s="42" t="str">
        <f>IF(AND('Mapa final'!$AG$13="Baja",'Mapa final'!$AI$13="Catastrófico"),CONCATENATE("R2C",'Mapa final'!$S$13),"")</f>
        <v/>
      </c>
      <c r="AL37" s="42" t="str">
        <f>IF(AND('Mapa final'!$AG$14="Baja",'Mapa final'!$AI$14="Catastrófico"),CONCATENATE("R2C",'Mapa final'!$S$14),"")</f>
        <v/>
      </c>
      <c r="AM37" s="43" t="str">
        <f>IF(AND('Mapa final'!$AG$15="Baja",'Mapa final'!$AI$15="Catastrófico"),CONCATENATE("R2C",'Mapa final'!$S$15),"")</f>
        <v/>
      </c>
      <c r="AN37" s="70"/>
      <c r="AO37" s="305"/>
      <c r="AP37" s="306"/>
      <c r="AQ37" s="306"/>
      <c r="AR37" s="306"/>
      <c r="AS37" s="306"/>
      <c r="AT37" s="307"/>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183"/>
      <c r="C38" s="183"/>
      <c r="D38" s="184"/>
      <c r="E38" s="284"/>
      <c r="F38" s="285"/>
      <c r="G38" s="285"/>
      <c r="H38" s="285"/>
      <c r="I38" s="283"/>
      <c r="J38" s="63" t="str">
        <f ca="1">IF(AND('Mapa final'!$AG$16="Baja",'Mapa final'!$AI$16="Leve"),CONCATENATE("R3C",'Mapa final'!$S$16),"")</f>
        <v/>
      </c>
      <c r="K38" s="64" t="str">
        <f ca="1">IF(AND('Mapa final'!$AG$17="Baja",'Mapa final'!$AI$17="Leve"),CONCATENATE("R3C",'Mapa final'!$S$17),"")</f>
        <v/>
      </c>
      <c r="L38" s="64" t="str">
        <f>IF(AND('Mapa final'!$AG$18="Baja",'Mapa final'!$AI$18="Leve"),CONCATENATE("R3C",'Mapa final'!$S$18),"")</f>
        <v/>
      </c>
      <c r="M38" s="64" t="str">
        <f>IF(AND('Mapa final'!$AG$19="Baja",'Mapa final'!$AI$19="Leve"),CONCATENATE("R3C",'Mapa final'!$S$19),"")</f>
        <v/>
      </c>
      <c r="N38" s="64" t="str">
        <f>IF(AND('Mapa final'!$AG$20="Baja",'Mapa final'!$AI$20="Leve"),CONCATENATE("R3C",'Mapa final'!$S$20),"")</f>
        <v/>
      </c>
      <c r="O38" s="65" t="str">
        <f>IF(AND('Mapa final'!$AG$21="Baja",'Mapa final'!$AI$21="Leve"),CONCATENATE("R3C",'Mapa final'!$S$21),"")</f>
        <v/>
      </c>
      <c r="P38" s="54" t="str">
        <f ca="1">IF(AND('Mapa final'!$AG$16="Baja",'Mapa final'!$AI$16="Menor"),CONCATENATE("R3C",'Mapa final'!$S$16),"")</f>
        <v/>
      </c>
      <c r="Q38" s="55" t="str">
        <f ca="1">IF(AND('Mapa final'!$AG$17="Baja",'Mapa final'!$AI$17="Menor"),CONCATENATE("R3C",'Mapa final'!$S$17),"")</f>
        <v/>
      </c>
      <c r="R38" s="55" t="str">
        <f>IF(AND('Mapa final'!$AG$18="Baja",'Mapa final'!$AI$18="Menor"),CONCATENATE("R3C",'Mapa final'!$S$18),"")</f>
        <v/>
      </c>
      <c r="S38" s="55" t="str">
        <f>IF(AND('Mapa final'!$AG$19="Baja",'Mapa final'!$AI$19="Menor"),CONCATENATE("R3C",'Mapa final'!$S$19),"")</f>
        <v/>
      </c>
      <c r="T38" s="55" t="str">
        <f>IF(AND('Mapa final'!$AG$20="Baja",'Mapa final'!$AI$20="Menor"),CONCATENATE("R3C",'Mapa final'!$S$20),"")</f>
        <v/>
      </c>
      <c r="U38" s="56" t="str">
        <f>IF(AND('Mapa final'!$AG$21="Baja",'Mapa final'!$AI$21="Menor"),CONCATENATE("R3C",'Mapa final'!$S$21),"")</f>
        <v/>
      </c>
      <c r="V38" s="54" t="str">
        <f ca="1">IF(AND('Mapa final'!$AG$16="Baja",'Mapa final'!$AI$16="Moderado"),CONCATENATE("R3C",'Mapa final'!$S$16),"")</f>
        <v>R3C1</v>
      </c>
      <c r="W38" s="55" t="str">
        <f ca="1">IF(AND('Mapa final'!$AG$17="Baja",'Mapa final'!$AI$17="Moderado"),CONCATENATE("R3C",'Mapa final'!$S$17),"")</f>
        <v>R3C2</v>
      </c>
      <c r="X38" s="55" t="str">
        <f>IF(AND('Mapa final'!$AG$18="Baja",'Mapa final'!$AI$18="Moderado"),CONCATENATE("R3C",'Mapa final'!$S$18),"")</f>
        <v/>
      </c>
      <c r="Y38" s="55" t="str">
        <f>IF(AND('Mapa final'!$AG$19="Baja",'Mapa final'!$AI$19="Moderado"),CONCATENATE("R3C",'Mapa final'!$S$19),"")</f>
        <v/>
      </c>
      <c r="Z38" s="55" t="str">
        <f>IF(AND('Mapa final'!$AG$20="Baja",'Mapa final'!$AI$20="Moderado"),CONCATENATE("R3C",'Mapa final'!$S$20),"")</f>
        <v/>
      </c>
      <c r="AA38" s="56" t="str">
        <f>IF(AND('Mapa final'!$AG$21="Baja",'Mapa final'!$AI$21="Moderado"),CONCATENATE("R3C",'Mapa final'!$S$21),"")</f>
        <v/>
      </c>
      <c r="AB38" s="38" t="str">
        <f ca="1">IF(AND('Mapa final'!$AG$16="Baja",'Mapa final'!$AI$16="Mayor"),CONCATENATE("R3C",'Mapa final'!$S$16),"")</f>
        <v/>
      </c>
      <c r="AC38" s="39" t="str">
        <f ca="1">IF(AND('Mapa final'!$AG$17="Baja",'Mapa final'!$AI$17="Mayor"),CONCATENATE("R3C",'Mapa final'!$S$17),"")</f>
        <v/>
      </c>
      <c r="AD38" s="39" t="str">
        <f>IF(AND('Mapa final'!$AG$18="Baja",'Mapa final'!$AI$18="Mayor"),CONCATENATE("R3C",'Mapa final'!$S$18),"")</f>
        <v/>
      </c>
      <c r="AE38" s="39" t="str">
        <f>IF(AND('Mapa final'!$AG$19="Baja",'Mapa final'!$AI$19="Mayor"),CONCATENATE("R3C",'Mapa final'!$S$19),"")</f>
        <v/>
      </c>
      <c r="AF38" s="39" t="str">
        <f>IF(AND('Mapa final'!$AG$20="Baja",'Mapa final'!$AI$20="Mayor"),CONCATENATE("R3C",'Mapa final'!$S$20),"")</f>
        <v/>
      </c>
      <c r="AG38" s="40" t="str">
        <f>IF(AND('Mapa final'!$AG$21="Baja",'Mapa final'!$AI$21="Mayor"),CONCATENATE("R3C",'Mapa final'!$S$21),"")</f>
        <v/>
      </c>
      <c r="AH38" s="41" t="str">
        <f ca="1">IF(AND('Mapa final'!$AG$16="Baja",'Mapa final'!$AI$16="Catastrófico"),CONCATENATE("R3C",'Mapa final'!$S$16),"")</f>
        <v/>
      </c>
      <c r="AI38" s="42" t="str">
        <f ca="1">IF(AND('Mapa final'!$AG$17="Baja",'Mapa final'!$AI$17="Catastrófico"),CONCATENATE("R3C",'Mapa final'!$S$17),"")</f>
        <v/>
      </c>
      <c r="AJ38" s="42" t="str">
        <f>IF(AND('Mapa final'!$AG$18="Baja",'Mapa final'!$AI$18="Catastrófico"),CONCATENATE("R3C",'Mapa final'!$S$18),"")</f>
        <v/>
      </c>
      <c r="AK38" s="42" t="str">
        <f>IF(AND('Mapa final'!$AG$19="Baja",'Mapa final'!$AI$19="Catastrófico"),CONCATENATE("R3C",'Mapa final'!$S$19),"")</f>
        <v/>
      </c>
      <c r="AL38" s="42" t="str">
        <f>IF(AND('Mapa final'!$AG$20="Baja",'Mapa final'!$AI$20="Catastrófico"),CONCATENATE("R3C",'Mapa final'!$S$20),"")</f>
        <v/>
      </c>
      <c r="AM38" s="43" t="str">
        <f>IF(AND('Mapa final'!$AG$21="Baja",'Mapa final'!$AI$21="Catastrófico"),CONCATENATE("R3C",'Mapa final'!$S$21),"")</f>
        <v/>
      </c>
      <c r="AN38" s="70"/>
      <c r="AO38" s="305"/>
      <c r="AP38" s="306"/>
      <c r="AQ38" s="306"/>
      <c r="AR38" s="306"/>
      <c r="AS38" s="306"/>
      <c r="AT38" s="307"/>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183"/>
      <c r="C39" s="183"/>
      <c r="D39" s="184"/>
      <c r="E39" s="284"/>
      <c r="F39" s="285"/>
      <c r="G39" s="285"/>
      <c r="H39" s="285"/>
      <c r="I39" s="283"/>
      <c r="J39" s="63" t="str">
        <f ca="1">IF(AND('Mapa final'!$AG$22="Baja",'Mapa final'!$AI$22="Leve"),CONCATENATE("R4C",'Mapa final'!$S$22),"")</f>
        <v/>
      </c>
      <c r="K39" s="64" t="str">
        <f ca="1">IF(AND('Mapa final'!$AG$23="Baja",'Mapa final'!$AI$23="Leve"),CONCATENATE("R4C",'Mapa final'!$S$23),"")</f>
        <v/>
      </c>
      <c r="L39" s="64" t="str">
        <f ca="1">IF(AND('Mapa final'!$AG$24="Baja",'Mapa final'!$AI$24="Leve"),CONCATENATE("R4C",'Mapa final'!$S$24),"")</f>
        <v/>
      </c>
      <c r="M39" s="64" t="str">
        <f>IF(AND('Mapa final'!$AG$25="Baja",'Mapa final'!$AI$25="Leve"),CONCATENATE("R4C",'Mapa final'!$S$25),"")</f>
        <v/>
      </c>
      <c r="N39" s="64" t="str">
        <f>IF(AND('Mapa final'!$AG$26="Baja",'Mapa final'!$AI$26="Leve"),CONCATENATE("R4C",'Mapa final'!$S$26),"")</f>
        <v/>
      </c>
      <c r="O39" s="65" t="str">
        <f>IF(AND('Mapa final'!$AG$27="Baja",'Mapa final'!$AI$27="Leve"),CONCATENATE("R4C",'Mapa final'!$S$27),"")</f>
        <v/>
      </c>
      <c r="P39" s="54" t="str">
        <f ca="1">IF(AND('Mapa final'!$AG$22="Baja",'Mapa final'!$AI$22="Menor"),CONCATENATE("R4C",'Mapa final'!$S$22),"")</f>
        <v/>
      </c>
      <c r="Q39" s="55" t="str">
        <f ca="1">IF(AND('Mapa final'!$AG$23="Baja",'Mapa final'!$AI$23="Menor"),CONCATENATE("R4C",'Mapa final'!$S$23),"")</f>
        <v/>
      </c>
      <c r="R39" s="55" t="str">
        <f ca="1">IF(AND('Mapa final'!$AG$24="Baja",'Mapa final'!$AI$24="Menor"),CONCATENATE("R4C",'Mapa final'!$S$24),"")</f>
        <v/>
      </c>
      <c r="S39" s="55" t="str">
        <f>IF(AND('Mapa final'!$AG$25="Baja",'Mapa final'!$AI$25="Menor"),CONCATENATE("R4C",'Mapa final'!$S$25),"")</f>
        <v/>
      </c>
      <c r="T39" s="55" t="str">
        <f>IF(AND('Mapa final'!$AG$26="Baja",'Mapa final'!$AI$26="Menor"),CONCATENATE("R4C",'Mapa final'!$S$26),"")</f>
        <v/>
      </c>
      <c r="U39" s="56" t="str">
        <f>IF(AND('Mapa final'!$AG$27="Baja",'Mapa final'!$AI$27="Menor"),CONCATENATE("R4C",'Mapa final'!$S$27),"")</f>
        <v/>
      </c>
      <c r="V39" s="54" t="str">
        <f ca="1">IF(AND('Mapa final'!$AG$22="Baja",'Mapa final'!$AI$22="Moderado"),CONCATENATE("R4C",'Mapa final'!$S$22),"")</f>
        <v/>
      </c>
      <c r="W39" s="55" t="str">
        <f ca="1">IF(AND('Mapa final'!$AG$23="Baja",'Mapa final'!$AI$23="Moderado"),CONCATENATE("R4C",'Mapa final'!$S$23),"")</f>
        <v/>
      </c>
      <c r="X39" s="55" t="str">
        <f ca="1">IF(AND('Mapa final'!$AG$24="Baja",'Mapa final'!$AI$24="Moderado"),CONCATENATE("R4C",'Mapa final'!$S$24),"")</f>
        <v/>
      </c>
      <c r="Y39" s="55" t="str">
        <f>IF(AND('Mapa final'!$AG$25="Baja",'Mapa final'!$AI$25="Moderado"),CONCATENATE("R4C",'Mapa final'!$S$25),"")</f>
        <v/>
      </c>
      <c r="Z39" s="55" t="str">
        <f>IF(AND('Mapa final'!$AG$26="Baja",'Mapa final'!$AI$26="Moderado"),CONCATENATE("R4C",'Mapa final'!$S$26),"")</f>
        <v/>
      </c>
      <c r="AA39" s="56" t="str">
        <f>IF(AND('Mapa final'!$AG$27="Baja",'Mapa final'!$AI$27="Moderado"),CONCATENATE("R4C",'Mapa final'!$S$27),"")</f>
        <v/>
      </c>
      <c r="AB39" s="38" t="str">
        <f ca="1">IF(AND('Mapa final'!$AG$22="Baja",'Mapa final'!$AI$22="Mayor"),CONCATENATE("R4C",'Mapa final'!$S$22),"")</f>
        <v/>
      </c>
      <c r="AC39" s="39" t="str">
        <f ca="1">IF(AND('Mapa final'!$AG$23="Baja",'Mapa final'!$AI$23="Mayor"),CONCATENATE("R4C",'Mapa final'!$S$23),"")</f>
        <v/>
      </c>
      <c r="AD39" s="39" t="str">
        <f ca="1">IF(AND('Mapa final'!$AG$24="Baja",'Mapa final'!$AI$24="Mayor"),CONCATENATE("R4C",'Mapa final'!$S$24),"")</f>
        <v/>
      </c>
      <c r="AE39" s="39" t="str">
        <f>IF(AND('Mapa final'!$AG$25="Baja",'Mapa final'!$AI$25="Mayor"),CONCATENATE("R4C",'Mapa final'!$S$25),"")</f>
        <v/>
      </c>
      <c r="AF39" s="39" t="str">
        <f>IF(AND('Mapa final'!$AG$26="Baja",'Mapa final'!$AI$26="Mayor"),CONCATENATE("R4C",'Mapa final'!$S$26),"")</f>
        <v/>
      </c>
      <c r="AG39" s="40" t="str">
        <f>IF(AND('Mapa final'!$AG$27="Baja",'Mapa final'!$AI$27="Mayor"),CONCATENATE("R4C",'Mapa final'!$S$27),"")</f>
        <v/>
      </c>
      <c r="AH39" s="41" t="str">
        <f ca="1">IF(AND('Mapa final'!$AG$22="Baja",'Mapa final'!$AI$22="Catastrófico"),CONCATENATE("R4C",'Mapa final'!$S$22),"")</f>
        <v/>
      </c>
      <c r="AI39" s="42" t="str">
        <f ca="1">IF(AND('Mapa final'!$AG$23="Baja",'Mapa final'!$AI$23="Catastrófico"),CONCATENATE("R4C",'Mapa final'!$S$23),"")</f>
        <v/>
      </c>
      <c r="AJ39" s="42" t="str">
        <f ca="1">IF(AND('Mapa final'!$AG$24="Baja",'Mapa final'!$AI$24="Catastrófico"),CONCATENATE("R4C",'Mapa final'!$S$24),"")</f>
        <v/>
      </c>
      <c r="AK39" s="42" t="str">
        <f>IF(AND('Mapa final'!$AG$25="Baja",'Mapa final'!$AI$25="Catastrófico"),CONCATENATE("R4C",'Mapa final'!$S$25),"")</f>
        <v/>
      </c>
      <c r="AL39" s="42" t="str">
        <f>IF(AND('Mapa final'!$AG$26="Baja",'Mapa final'!$AI$26="Catastrófico"),CONCATENATE("R4C",'Mapa final'!$S$26),"")</f>
        <v/>
      </c>
      <c r="AM39" s="43" t="str">
        <f>IF(AND('Mapa final'!$AG$27="Baja",'Mapa final'!$AI$27="Catastrófico"),CONCATENATE("R4C",'Mapa final'!$S$27),"")</f>
        <v/>
      </c>
      <c r="AN39" s="70"/>
      <c r="AO39" s="305"/>
      <c r="AP39" s="306"/>
      <c r="AQ39" s="306"/>
      <c r="AR39" s="306"/>
      <c r="AS39" s="306"/>
      <c r="AT39" s="307"/>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183"/>
      <c r="C40" s="183"/>
      <c r="D40" s="184"/>
      <c r="E40" s="284"/>
      <c r="F40" s="285"/>
      <c r="G40" s="285"/>
      <c r="H40" s="285"/>
      <c r="I40" s="283"/>
      <c r="J40" s="63" t="str">
        <f ca="1">IF(AND('Mapa final'!$AG$28="Baja",'Mapa final'!$AI$28="Leve"),CONCATENATE("R5C",'Mapa final'!$S$28),"")</f>
        <v/>
      </c>
      <c r="K40" s="64" t="str">
        <f ca="1">IF(AND('Mapa final'!$AG$29="Baja",'Mapa final'!$AI$29="Leve"),CONCATENATE("R5C",'Mapa final'!$S$29),"")</f>
        <v/>
      </c>
      <c r="L40" s="64" t="str">
        <f>IF(AND('Mapa final'!$AG$30="Baja",'Mapa final'!$AI$30="Leve"),CONCATENATE("R5C",'Mapa final'!$S$30),"")</f>
        <v/>
      </c>
      <c r="M40" s="64" t="str">
        <f>IF(AND('Mapa final'!$AG$31="Baja",'Mapa final'!$AI$31="Leve"),CONCATENATE("R5C",'Mapa final'!$S$31),"")</f>
        <v/>
      </c>
      <c r="N40" s="64" t="str">
        <f>IF(AND('Mapa final'!$AG$32="Baja",'Mapa final'!$AI$32="Leve"),CONCATENATE("R5C",'Mapa final'!$S$32),"")</f>
        <v/>
      </c>
      <c r="O40" s="65" t="str">
        <f>IF(AND('Mapa final'!$AG$33="Baja",'Mapa final'!$AI$33="Leve"),CONCATENATE("R5C",'Mapa final'!$S$33),"")</f>
        <v/>
      </c>
      <c r="P40" s="54" t="str">
        <f ca="1">IF(AND('Mapa final'!$AG$28="Baja",'Mapa final'!$AI$28="Menor"),CONCATENATE("R5C",'Mapa final'!$S$28),"")</f>
        <v/>
      </c>
      <c r="Q40" s="55" t="str">
        <f ca="1">IF(AND('Mapa final'!$AG$29="Baja",'Mapa final'!$AI$29="Menor"),CONCATENATE("R5C",'Mapa final'!$S$29),"")</f>
        <v/>
      </c>
      <c r="R40" s="55" t="str">
        <f>IF(AND('Mapa final'!$AG$30="Baja",'Mapa final'!$AI$30="Menor"),CONCATENATE("R5C",'Mapa final'!$S$30),"")</f>
        <v/>
      </c>
      <c r="S40" s="55" t="str">
        <f>IF(AND('Mapa final'!$AG$31="Baja",'Mapa final'!$AI$31="Menor"),CONCATENATE("R5C",'Mapa final'!$S$31),"")</f>
        <v/>
      </c>
      <c r="T40" s="55" t="str">
        <f>IF(AND('Mapa final'!$AG$32="Baja",'Mapa final'!$AI$32="Menor"),CONCATENATE("R5C",'Mapa final'!$S$32),"")</f>
        <v/>
      </c>
      <c r="U40" s="56" t="str">
        <f>IF(AND('Mapa final'!$AG$33="Baja",'Mapa final'!$AI$33="Menor"),CONCATENATE("R5C",'Mapa final'!$S$33),"")</f>
        <v/>
      </c>
      <c r="V40" s="54" t="str">
        <f ca="1">IF(AND('Mapa final'!$AG$28="Baja",'Mapa final'!$AI$28="Moderado"),CONCATENATE("R5C",'Mapa final'!$S$28),"")</f>
        <v>R5C1</v>
      </c>
      <c r="W40" s="55" t="str">
        <f ca="1">IF(AND('Mapa final'!$AG$29="Baja",'Mapa final'!$AI$29="Moderado"),CONCATENATE("R5C",'Mapa final'!$S$29),"")</f>
        <v>R5C2</v>
      </c>
      <c r="X40" s="55" t="str">
        <f>IF(AND('Mapa final'!$AG$30="Baja",'Mapa final'!$AI$30="Moderado"),CONCATENATE("R5C",'Mapa final'!$S$30),"")</f>
        <v/>
      </c>
      <c r="Y40" s="55" t="str">
        <f>IF(AND('Mapa final'!$AG$31="Baja",'Mapa final'!$AI$31="Moderado"),CONCATENATE("R5C",'Mapa final'!$S$31),"")</f>
        <v/>
      </c>
      <c r="Z40" s="55" t="str">
        <f>IF(AND('Mapa final'!$AG$32="Baja",'Mapa final'!$AI$32="Moderado"),CONCATENATE("R5C",'Mapa final'!$S$32),"")</f>
        <v/>
      </c>
      <c r="AA40" s="56" t="str">
        <f>IF(AND('Mapa final'!$AG$33="Baja",'Mapa final'!$AI$33="Moderado"),CONCATENATE("R5C",'Mapa final'!$S$33),"")</f>
        <v/>
      </c>
      <c r="AB40" s="38" t="str">
        <f ca="1">IF(AND('Mapa final'!$AG$28="Baja",'Mapa final'!$AI$28="Mayor"),CONCATENATE("R5C",'Mapa final'!$S$28),"")</f>
        <v/>
      </c>
      <c r="AC40" s="39" t="str">
        <f ca="1">IF(AND('Mapa final'!$AG$29="Baja",'Mapa final'!$AI$29="Mayor"),CONCATENATE("R5C",'Mapa final'!$S$29),"")</f>
        <v/>
      </c>
      <c r="AD40" s="44" t="str">
        <f>IF(AND('Mapa final'!$AG$30="Baja",'Mapa final'!$AI$30="Mayor"),CONCATENATE("R5C",'Mapa final'!$S$30),"")</f>
        <v/>
      </c>
      <c r="AE40" s="44" t="str">
        <f>IF(AND('Mapa final'!$AG$31="Baja",'Mapa final'!$AI$31="Mayor"),CONCATENATE("R5C",'Mapa final'!$S$31),"")</f>
        <v/>
      </c>
      <c r="AF40" s="44" t="str">
        <f>IF(AND('Mapa final'!$AG$32="Baja",'Mapa final'!$AI$32="Mayor"),CONCATENATE("R5C",'Mapa final'!$S$32),"")</f>
        <v/>
      </c>
      <c r="AG40" s="40" t="str">
        <f>IF(AND('Mapa final'!$AG$33="Baja",'Mapa final'!$AI$33="Mayor"),CONCATENATE("R5C",'Mapa final'!$S$33),"")</f>
        <v/>
      </c>
      <c r="AH40" s="41" t="str">
        <f ca="1">IF(AND('Mapa final'!$AG$28="Baja",'Mapa final'!$AI$28="Catastrófico"),CONCATENATE("R5C",'Mapa final'!$S$28),"")</f>
        <v/>
      </c>
      <c r="AI40" s="42" t="str">
        <f ca="1">IF(AND('Mapa final'!$AG$29="Baja",'Mapa final'!$AI$29="Catastrófico"),CONCATENATE("R5C",'Mapa final'!$S$29),"")</f>
        <v/>
      </c>
      <c r="AJ40" s="42" t="str">
        <f>IF(AND('Mapa final'!$AG$30="Baja",'Mapa final'!$AI$30="Catastrófico"),CONCATENATE("R5C",'Mapa final'!$S$30),"")</f>
        <v/>
      </c>
      <c r="AK40" s="42" t="str">
        <f>IF(AND('Mapa final'!$AG$31="Baja",'Mapa final'!$AI$31="Catastrófico"),CONCATENATE("R5C",'Mapa final'!$S$31),"")</f>
        <v/>
      </c>
      <c r="AL40" s="42" t="str">
        <f>IF(AND('Mapa final'!$AG$32="Baja",'Mapa final'!$AI$32="Catastrófico"),CONCATENATE("R5C",'Mapa final'!$S$32),"")</f>
        <v/>
      </c>
      <c r="AM40" s="43" t="str">
        <f>IF(AND('Mapa final'!$AG$33="Baja",'Mapa final'!$AI$33="Catastrófico"),CONCATENATE("R5C",'Mapa final'!$S$33),"")</f>
        <v/>
      </c>
      <c r="AN40" s="70"/>
      <c r="AO40" s="305"/>
      <c r="AP40" s="306"/>
      <c r="AQ40" s="306"/>
      <c r="AR40" s="306"/>
      <c r="AS40" s="306"/>
      <c r="AT40" s="307"/>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183"/>
      <c r="C41" s="183"/>
      <c r="D41" s="184"/>
      <c r="E41" s="284"/>
      <c r="F41" s="285"/>
      <c r="G41" s="285"/>
      <c r="H41" s="285"/>
      <c r="I41" s="283"/>
      <c r="J41" s="63" t="str">
        <f ca="1">IF(AND('Mapa final'!$AG$34="Baja",'Mapa final'!$AI$34="Leve"),CONCATENATE("R6C",'Mapa final'!$S$34),"")</f>
        <v/>
      </c>
      <c r="K41" s="64" t="str">
        <f ca="1">IF(AND('Mapa final'!$AG$35="Baja",'Mapa final'!$AI$35="Leve"),CONCATENATE("R6C",'Mapa final'!$S$35),"")</f>
        <v/>
      </c>
      <c r="L41" s="64" t="str">
        <f ca="1">IF(AND('Mapa final'!$AG$36="Baja",'Mapa final'!$AI$36="Leve"),CONCATENATE("R6C",'Mapa final'!$S$36),"")</f>
        <v/>
      </c>
      <c r="M41" s="64" t="str">
        <f ca="1">IF(AND('Mapa final'!$AG$37="Baja",'Mapa final'!$AI$37="Leve"),CONCATENATE("R6C",'Mapa final'!$S$37),"")</f>
        <v/>
      </c>
      <c r="N41" s="64" t="str">
        <f>IF(AND('Mapa final'!$AG$38="Baja",'Mapa final'!$AI$38="Leve"),CONCATENATE("R6C",'Mapa final'!$S$38),"")</f>
        <v/>
      </c>
      <c r="O41" s="65" t="str">
        <f>IF(AND('Mapa final'!$AG$39="Baja",'Mapa final'!$AI$39="Leve"),CONCATENATE("R6C",'Mapa final'!$S$39),"")</f>
        <v/>
      </c>
      <c r="P41" s="54" t="str">
        <f ca="1">IF(AND('Mapa final'!$AG$34="Baja",'Mapa final'!$AI$34="Menor"),CONCATENATE("R6C",'Mapa final'!$S$34),"")</f>
        <v/>
      </c>
      <c r="Q41" s="55" t="str">
        <f ca="1">IF(AND('Mapa final'!$AG$35="Baja",'Mapa final'!$AI$35="Menor"),CONCATENATE("R6C",'Mapa final'!$S$35),"")</f>
        <v/>
      </c>
      <c r="R41" s="55" t="str">
        <f ca="1">IF(AND('Mapa final'!$AG$36="Baja",'Mapa final'!$AI$36="Menor"),CONCATENATE("R6C",'Mapa final'!$S$36),"")</f>
        <v/>
      </c>
      <c r="S41" s="55" t="str">
        <f ca="1">IF(AND('Mapa final'!$AG$37="Baja",'Mapa final'!$AI$37="Menor"),CONCATENATE("R6C",'Mapa final'!$S$37),"")</f>
        <v/>
      </c>
      <c r="T41" s="55" t="str">
        <f>IF(AND('Mapa final'!$AG$38="Baja",'Mapa final'!$AI$38="Menor"),CONCATENATE("R6C",'Mapa final'!$S$38),"")</f>
        <v/>
      </c>
      <c r="U41" s="56" t="str">
        <f>IF(AND('Mapa final'!$AG$39="Baja",'Mapa final'!$AI$39="Menor"),CONCATENATE("R6C",'Mapa final'!$S$39),"")</f>
        <v/>
      </c>
      <c r="V41" s="54" t="str">
        <f ca="1">IF(AND('Mapa final'!$AG$34="Baja",'Mapa final'!$AI$34="Moderado"),CONCATENATE("R6C",'Mapa final'!$S$34),"")</f>
        <v/>
      </c>
      <c r="W41" s="55" t="str">
        <f ca="1">IF(AND('Mapa final'!$AG$35="Baja",'Mapa final'!$AI$35="Moderado"),CONCATENATE("R6C",'Mapa final'!$S$35),"")</f>
        <v/>
      </c>
      <c r="X41" s="55" t="str">
        <f ca="1">IF(AND('Mapa final'!$AG$36="Baja",'Mapa final'!$AI$36="Moderado"),CONCATENATE("R6C",'Mapa final'!$S$36),"")</f>
        <v/>
      </c>
      <c r="Y41" s="55" t="str">
        <f ca="1">IF(AND('Mapa final'!$AG$37="Baja",'Mapa final'!$AI$37="Moderado"),CONCATENATE("R6C",'Mapa final'!$S$37),"")</f>
        <v/>
      </c>
      <c r="Z41" s="55" t="str">
        <f>IF(AND('Mapa final'!$AG$38="Baja",'Mapa final'!$AI$38="Moderado"),CONCATENATE("R6C",'Mapa final'!$S$38),"")</f>
        <v/>
      </c>
      <c r="AA41" s="56" t="str">
        <f>IF(AND('Mapa final'!$AG$39="Baja",'Mapa final'!$AI$39="Moderado"),CONCATENATE("R6C",'Mapa final'!$S$39),"")</f>
        <v/>
      </c>
      <c r="AB41" s="38" t="str">
        <f ca="1">IF(AND('Mapa final'!$AG$34="Baja",'Mapa final'!$AI$34="Mayor"),CONCATENATE("R6C",'Mapa final'!$S$34),"")</f>
        <v/>
      </c>
      <c r="AC41" s="39" t="str">
        <f ca="1">IF(AND('Mapa final'!$AG$35="Baja",'Mapa final'!$AI$35="Mayor"),CONCATENATE("R6C",'Mapa final'!$S$35),"")</f>
        <v/>
      </c>
      <c r="AD41" s="44" t="str">
        <f ca="1">IF(AND('Mapa final'!$AG$36="Baja",'Mapa final'!$AI$36="Mayor"),CONCATENATE("R6C",'Mapa final'!$S$36),"")</f>
        <v/>
      </c>
      <c r="AE41" s="44" t="str">
        <f ca="1">IF(AND('Mapa final'!$AG$37="Baja",'Mapa final'!$AI$37="Mayor"),CONCATENATE("R6C",'Mapa final'!$S$37),"")</f>
        <v/>
      </c>
      <c r="AF41" s="44" t="str">
        <f>IF(AND('Mapa final'!$AG$38="Baja",'Mapa final'!$AI$38="Mayor"),CONCATENATE("R6C",'Mapa final'!$S$38),"")</f>
        <v/>
      </c>
      <c r="AG41" s="40" t="str">
        <f>IF(AND('Mapa final'!$AG$39="Baja",'Mapa final'!$AI$39="Mayor"),CONCATENATE("R6C",'Mapa final'!$S$39),"")</f>
        <v/>
      </c>
      <c r="AH41" s="41" t="str">
        <f ca="1">IF(AND('Mapa final'!$AG$34="Baja",'Mapa final'!$AI$34="Catastrófico"),CONCATENATE("R6C",'Mapa final'!$S$34),"")</f>
        <v/>
      </c>
      <c r="AI41" s="42" t="str">
        <f ca="1">IF(AND('Mapa final'!$AG$35="Baja",'Mapa final'!$AI$35="Catastrófico"),CONCATENATE("R6C",'Mapa final'!$S$35),"")</f>
        <v/>
      </c>
      <c r="AJ41" s="42" t="str">
        <f ca="1">IF(AND('Mapa final'!$AG$36="Baja",'Mapa final'!$AI$36="Catastrófico"),CONCATENATE("R6C",'Mapa final'!$S$36),"")</f>
        <v/>
      </c>
      <c r="AK41" s="42" t="str">
        <f ca="1">IF(AND('Mapa final'!$AG$37="Baja",'Mapa final'!$AI$37="Catastrófico"),CONCATENATE("R6C",'Mapa final'!$S$37),"")</f>
        <v/>
      </c>
      <c r="AL41" s="42" t="str">
        <f>IF(AND('Mapa final'!$AG$38="Baja",'Mapa final'!$AI$38="Catastrófico"),CONCATENATE("R6C",'Mapa final'!$S$38),"")</f>
        <v/>
      </c>
      <c r="AM41" s="43" t="str">
        <f>IF(AND('Mapa final'!$AG$39="Baja",'Mapa final'!$AI$39="Catastrófico"),CONCATENATE("R6C",'Mapa final'!$S$39),"")</f>
        <v/>
      </c>
      <c r="AN41" s="70"/>
      <c r="AO41" s="305"/>
      <c r="AP41" s="306"/>
      <c r="AQ41" s="306"/>
      <c r="AR41" s="306"/>
      <c r="AS41" s="306"/>
      <c r="AT41" s="307"/>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183"/>
      <c r="C42" s="183"/>
      <c r="D42" s="184"/>
      <c r="E42" s="284"/>
      <c r="F42" s="285"/>
      <c r="G42" s="285"/>
      <c r="H42" s="285"/>
      <c r="I42" s="283"/>
      <c r="J42" s="63" t="str">
        <f ca="1">IF(AND('Mapa final'!$AG$40="Baja",'Mapa final'!$AI$40="Leve"),CONCATENATE("R7C",'Mapa final'!$S$40),"")</f>
        <v/>
      </c>
      <c r="K42" s="64" t="str">
        <f ca="1">IF(AND('Mapa final'!$AG$41="Baja",'Mapa final'!$AI$41="Leve"),CONCATENATE("R7C",'Mapa final'!$S$41),"")</f>
        <v/>
      </c>
      <c r="L42" s="64" t="str">
        <f>IF(AND('Mapa final'!$AG$42="Baja",'Mapa final'!$AI$42="Leve"),CONCATENATE("R7C",'Mapa final'!$S$42),"")</f>
        <v/>
      </c>
      <c r="M42" s="64" t="str">
        <f>IF(AND('Mapa final'!$AG$43="Baja",'Mapa final'!$AI$43="Leve"),CONCATENATE("R7C",'Mapa final'!$S$43),"")</f>
        <v/>
      </c>
      <c r="N42" s="64" t="str">
        <f>IF(AND('Mapa final'!$AG$44="Baja",'Mapa final'!$AI$44="Leve"),CONCATENATE("R7C",'Mapa final'!$S$44),"")</f>
        <v/>
      </c>
      <c r="O42" s="65" t="str">
        <f>IF(AND('Mapa final'!$AG$45="Baja",'Mapa final'!$AI$45="Leve"),CONCATENATE("R7C",'Mapa final'!$S$45),"")</f>
        <v/>
      </c>
      <c r="P42" s="54" t="str">
        <f ca="1">IF(AND('Mapa final'!$AG$40="Baja",'Mapa final'!$AI$40="Menor"),CONCATENATE("R7C",'Mapa final'!$S$40),"")</f>
        <v/>
      </c>
      <c r="Q42" s="55" t="str">
        <f ca="1">IF(AND('Mapa final'!$AG$41="Baja",'Mapa final'!$AI$41="Menor"),CONCATENATE("R7C",'Mapa final'!$S$41),"")</f>
        <v/>
      </c>
      <c r="R42" s="55" t="str">
        <f>IF(AND('Mapa final'!$AG$42="Baja",'Mapa final'!$AI$42="Menor"),CONCATENATE("R7C",'Mapa final'!$S$42),"")</f>
        <v/>
      </c>
      <c r="S42" s="55" t="str">
        <f>IF(AND('Mapa final'!$AG$43="Baja",'Mapa final'!$AI$43="Menor"),CONCATENATE("R7C",'Mapa final'!$S$43),"")</f>
        <v/>
      </c>
      <c r="T42" s="55" t="str">
        <f>IF(AND('Mapa final'!$AG$44="Baja",'Mapa final'!$AI$44="Menor"),CONCATENATE("R7C",'Mapa final'!$S$44),"")</f>
        <v/>
      </c>
      <c r="U42" s="56" t="str">
        <f>IF(AND('Mapa final'!$AG$45="Baja",'Mapa final'!$AI$45="Menor"),CONCATENATE("R7C",'Mapa final'!$S$45),"")</f>
        <v/>
      </c>
      <c r="V42" s="54" t="str">
        <f ca="1">IF(AND('Mapa final'!$AG$40="Baja",'Mapa final'!$AI$40="Moderado"),CONCATENATE("R7C",'Mapa final'!$S$40),"")</f>
        <v/>
      </c>
      <c r="W42" s="55" t="str">
        <f ca="1">IF(AND('Mapa final'!$AG$41="Baja",'Mapa final'!$AI$41="Moderado"),CONCATENATE("R7C",'Mapa final'!$S$41),"")</f>
        <v/>
      </c>
      <c r="X42" s="55" t="str">
        <f>IF(AND('Mapa final'!$AG$42="Baja",'Mapa final'!$AI$42="Moderado"),CONCATENATE("R7C",'Mapa final'!$S$42),"")</f>
        <v/>
      </c>
      <c r="Y42" s="55" t="str">
        <f>IF(AND('Mapa final'!$AG$43="Baja",'Mapa final'!$AI$43="Moderado"),CONCATENATE("R7C",'Mapa final'!$S$43),"")</f>
        <v/>
      </c>
      <c r="Z42" s="55" t="str">
        <f>IF(AND('Mapa final'!$AG$44="Baja",'Mapa final'!$AI$44="Moderado"),CONCATENATE("R7C",'Mapa final'!$S$44),"")</f>
        <v/>
      </c>
      <c r="AA42" s="56" t="str">
        <f>IF(AND('Mapa final'!$AG$45="Baja",'Mapa final'!$AI$45="Moderado"),CONCATENATE("R7C",'Mapa final'!$S$45),"")</f>
        <v/>
      </c>
      <c r="AB42" s="38" t="str">
        <f ca="1">IF(AND('Mapa final'!$AG$40="Baja",'Mapa final'!$AI$40="Mayor"),CONCATENATE("R7C",'Mapa final'!$S$40),"")</f>
        <v/>
      </c>
      <c r="AC42" s="39" t="str">
        <f ca="1">IF(AND('Mapa final'!$AG$41="Baja",'Mapa final'!$AI$41="Mayor"),CONCATENATE("R7C",'Mapa final'!$S$41),"")</f>
        <v/>
      </c>
      <c r="AD42" s="44" t="str">
        <f>IF(AND('Mapa final'!$AG$42="Baja",'Mapa final'!$AI$42="Mayor"),CONCATENATE("R7C",'Mapa final'!$S$42),"")</f>
        <v/>
      </c>
      <c r="AE42" s="44" t="str">
        <f>IF(AND('Mapa final'!$AG$43="Baja",'Mapa final'!$AI$43="Mayor"),CONCATENATE("R7C",'Mapa final'!$S$43),"")</f>
        <v/>
      </c>
      <c r="AF42" s="44" t="str">
        <f>IF(AND('Mapa final'!$AG$44="Baja",'Mapa final'!$AI$44="Mayor"),CONCATENATE("R7C",'Mapa final'!$S$44),"")</f>
        <v/>
      </c>
      <c r="AG42" s="40" t="str">
        <f>IF(AND('Mapa final'!$AG$45="Baja",'Mapa final'!$AI$45="Mayor"),CONCATENATE("R7C",'Mapa final'!$S$45),"")</f>
        <v/>
      </c>
      <c r="AH42" s="41" t="str">
        <f ca="1">IF(AND('Mapa final'!$AG$40="Baja",'Mapa final'!$AI$40="Catastrófico"),CONCATENATE("R7C",'Mapa final'!$S$40),"")</f>
        <v/>
      </c>
      <c r="AI42" s="42" t="str">
        <f ca="1">IF(AND('Mapa final'!$AG$41="Baja",'Mapa final'!$AI$41="Catastrófico"),CONCATENATE("R7C",'Mapa final'!$S$41),"")</f>
        <v/>
      </c>
      <c r="AJ42" s="42" t="str">
        <f>IF(AND('Mapa final'!$AG$42="Baja",'Mapa final'!$AI$42="Catastrófico"),CONCATENATE("R7C",'Mapa final'!$S$42),"")</f>
        <v/>
      </c>
      <c r="AK42" s="42" t="str">
        <f>IF(AND('Mapa final'!$AG$43="Baja",'Mapa final'!$AI$43="Catastrófico"),CONCATENATE("R7C",'Mapa final'!$S$43),"")</f>
        <v/>
      </c>
      <c r="AL42" s="42" t="str">
        <f>IF(AND('Mapa final'!$AG$44="Baja",'Mapa final'!$AI$44="Catastrófico"),CONCATENATE("R7C",'Mapa final'!$S$44),"")</f>
        <v/>
      </c>
      <c r="AM42" s="43" t="str">
        <f>IF(AND('Mapa final'!$AG$45="Baja",'Mapa final'!$AI$45="Catastrófico"),CONCATENATE("R7C",'Mapa final'!$S$45),"")</f>
        <v/>
      </c>
      <c r="AN42" s="70"/>
      <c r="AO42" s="305"/>
      <c r="AP42" s="306"/>
      <c r="AQ42" s="306"/>
      <c r="AR42" s="306"/>
      <c r="AS42" s="306"/>
      <c r="AT42" s="307"/>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183"/>
      <c r="C43" s="183"/>
      <c r="D43" s="184"/>
      <c r="E43" s="284"/>
      <c r="F43" s="285"/>
      <c r="G43" s="285"/>
      <c r="H43" s="285"/>
      <c r="I43" s="283"/>
      <c r="J43" s="63" t="str">
        <f ca="1">IF(AND('Mapa final'!$AG$46="Baja",'Mapa final'!$AI$46="Leve"),CONCATENATE("R8C",'Mapa final'!$S$46),"")</f>
        <v/>
      </c>
      <c r="K43" s="64" t="str">
        <f ca="1">IF(AND('Mapa final'!$AG$47="Baja",'Mapa final'!$AI$47="Leve"),CONCATENATE("R8C",'Mapa final'!$S$47),"")</f>
        <v/>
      </c>
      <c r="L43" s="64" t="str">
        <f ca="1">IF(AND('Mapa final'!$AG$48="Baja",'Mapa final'!$AI$48="Leve"),CONCATENATE("R8C",'Mapa final'!$S$48),"")</f>
        <v/>
      </c>
      <c r="M43" s="64" t="str">
        <f ca="1">IF(AND('Mapa final'!$AG$49="Baja",'Mapa final'!$AI$49="Leve"),CONCATENATE("R8C",'Mapa final'!$S$49),"")</f>
        <v/>
      </c>
      <c r="N43" s="64" t="str">
        <f>IF(AND('Mapa final'!$AG$50="Baja",'Mapa final'!$AI$50="Leve"),CONCATENATE("R8C",'Mapa final'!$S$50),"")</f>
        <v/>
      </c>
      <c r="O43" s="65" t="str">
        <f>IF(AND('Mapa final'!$AG$51="Baja",'Mapa final'!$AI$51="Leve"),CONCATENATE("R8C",'Mapa final'!$S$51),"")</f>
        <v/>
      </c>
      <c r="P43" s="54" t="str">
        <f ca="1">IF(AND('Mapa final'!$AG$46="Baja",'Mapa final'!$AI$46="Menor"),CONCATENATE("R8C",'Mapa final'!$S$46),"")</f>
        <v>R8C1</v>
      </c>
      <c r="Q43" s="55" t="str">
        <f ca="1">IF(AND('Mapa final'!$AG$47="Baja",'Mapa final'!$AI$47="Menor"),CONCATENATE("R8C",'Mapa final'!$S$47),"")</f>
        <v>R8C2</v>
      </c>
      <c r="R43" s="55" t="str">
        <f ca="1">IF(AND('Mapa final'!$AG$48="Baja",'Mapa final'!$AI$48="Menor"),CONCATENATE("R8C",'Mapa final'!$S$48),"")</f>
        <v/>
      </c>
      <c r="S43" s="55" t="str">
        <f ca="1">IF(AND('Mapa final'!$AG$49="Baja",'Mapa final'!$AI$49="Menor"),CONCATENATE("R8C",'Mapa final'!$S$49),"")</f>
        <v/>
      </c>
      <c r="T43" s="55" t="str">
        <f>IF(AND('Mapa final'!$AG$50="Baja",'Mapa final'!$AI$50="Menor"),CONCATENATE("R8C",'Mapa final'!$S$50),"")</f>
        <v/>
      </c>
      <c r="U43" s="56" t="str">
        <f>IF(AND('Mapa final'!$AG$51="Baja",'Mapa final'!$AI$51="Menor"),CONCATENATE("R8C",'Mapa final'!$S$51),"")</f>
        <v/>
      </c>
      <c r="V43" s="54" t="str">
        <f ca="1">IF(AND('Mapa final'!$AG$46="Baja",'Mapa final'!$AI$46="Moderado"),CONCATENATE("R8C",'Mapa final'!$S$46),"")</f>
        <v/>
      </c>
      <c r="W43" s="55" t="str">
        <f ca="1">IF(AND('Mapa final'!$AG$47="Baja",'Mapa final'!$AI$47="Moderado"),CONCATENATE("R8C",'Mapa final'!$S$47),"")</f>
        <v/>
      </c>
      <c r="X43" s="55" t="str">
        <f ca="1">IF(AND('Mapa final'!$AG$48="Baja",'Mapa final'!$AI$48="Moderado"),CONCATENATE("R8C",'Mapa final'!$S$48),"")</f>
        <v/>
      </c>
      <c r="Y43" s="55" t="str">
        <f ca="1">IF(AND('Mapa final'!$AG$49="Baja",'Mapa final'!$AI$49="Moderado"),CONCATENATE("R8C",'Mapa final'!$S$49),"")</f>
        <v/>
      </c>
      <c r="Z43" s="55" t="str">
        <f>IF(AND('Mapa final'!$AG$50="Baja",'Mapa final'!$AI$50="Moderado"),CONCATENATE("R8C",'Mapa final'!$S$50),"")</f>
        <v/>
      </c>
      <c r="AA43" s="56" t="str">
        <f>IF(AND('Mapa final'!$AG$51="Baja",'Mapa final'!$AI$51="Moderado"),CONCATENATE("R8C",'Mapa final'!$S$51),"")</f>
        <v/>
      </c>
      <c r="AB43" s="38" t="str">
        <f ca="1">IF(AND('Mapa final'!$AG$46="Baja",'Mapa final'!$AI$46="Mayor"),CONCATENATE("R8C",'Mapa final'!$S$46),"")</f>
        <v/>
      </c>
      <c r="AC43" s="39" t="str">
        <f ca="1">IF(AND('Mapa final'!$AG$47="Baja",'Mapa final'!$AI$47="Mayor"),CONCATENATE("R8C",'Mapa final'!$S$47),"")</f>
        <v/>
      </c>
      <c r="AD43" s="44" t="str">
        <f ca="1">IF(AND('Mapa final'!$AG$48="Baja",'Mapa final'!$AI$48="Mayor"),CONCATENATE("R8C",'Mapa final'!$S$48),"")</f>
        <v/>
      </c>
      <c r="AE43" s="44" t="str">
        <f ca="1">IF(AND('Mapa final'!$AG$49="Baja",'Mapa final'!$AI$49="Mayor"),CONCATENATE("R8C",'Mapa final'!$S$49),"")</f>
        <v/>
      </c>
      <c r="AF43" s="44" t="str">
        <f>IF(AND('Mapa final'!$AG$50="Baja",'Mapa final'!$AI$50="Mayor"),CONCATENATE("R8C",'Mapa final'!$S$50),"")</f>
        <v/>
      </c>
      <c r="AG43" s="40" t="str">
        <f>IF(AND('Mapa final'!$AG$51="Baja",'Mapa final'!$AI$51="Mayor"),CONCATENATE("R8C",'Mapa final'!$S$51),"")</f>
        <v/>
      </c>
      <c r="AH43" s="41" t="str">
        <f ca="1">IF(AND('Mapa final'!$AG$46="Baja",'Mapa final'!$AI$46="Catastrófico"),CONCATENATE("R8C",'Mapa final'!$S$46),"")</f>
        <v/>
      </c>
      <c r="AI43" s="42" t="str">
        <f ca="1">IF(AND('Mapa final'!$AG$47="Baja",'Mapa final'!$AI$47="Catastrófico"),CONCATENATE("R8C",'Mapa final'!$S$47),"")</f>
        <v/>
      </c>
      <c r="AJ43" s="42" t="str">
        <f ca="1">IF(AND('Mapa final'!$AG$48="Baja",'Mapa final'!$AI$48="Catastrófico"),CONCATENATE("R8C",'Mapa final'!$S$48),"")</f>
        <v/>
      </c>
      <c r="AK43" s="42" t="str">
        <f ca="1">IF(AND('Mapa final'!$AG$49="Baja",'Mapa final'!$AI$49="Catastrófico"),CONCATENATE("R8C",'Mapa final'!$S$49),"")</f>
        <v/>
      </c>
      <c r="AL43" s="42" t="str">
        <f>IF(AND('Mapa final'!$AG$50="Baja",'Mapa final'!$AI$50="Catastrófico"),CONCATENATE("R8C",'Mapa final'!$S$50),"")</f>
        <v/>
      </c>
      <c r="AM43" s="43" t="str">
        <f>IF(AND('Mapa final'!$AG$51="Baja",'Mapa final'!$AI$51="Catastrófico"),CONCATENATE("R8C",'Mapa final'!$S$51),"")</f>
        <v/>
      </c>
      <c r="AN43" s="70"/>
      <c r="AO43" s="305"/>
      <c r="AP43" s="306"/>
      <c r="AQ43" s="306"/>
      <c r="AR43" s="306"/>
      <c r="AS43" s="306"/>
      <c r="AT43" s="307"/>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183"/>
      <c r="C44" s="183"/>
      <c r="D44" s="184"/>
      <c r="E44" s="284"/>
      <c r="F44" s="285"/>
      <c r="G44" s="285"/>
      <c r="H44" s="285"/>
      <c r="I44" s="283"/>
      <c r="J44" s="63" t="str">
        <f ca="1">IF(AND('Mapa final'!$AG$52="Baja",'Mapa final'!$AI$52="Leve"),CONCATENATE("R9C",'Mapa final'!$S$52),"")</f>
        <v/>
      </c>
      <c r="K44" s="64" t="str">
        <f ca="1">IF(AND('Mapa final'!$AG$53="Baja",'Mapa final'!$AI$53="Leve"),CONCATENATE("R9C",'Mapa final'!$S$53),"")</f>
        <v/>
      </c>
      <c r="L44" s="64" t="str">
        <f ca="1">IF(AND('Mapa final'!$AG$54="Baja",'Mapa final'!$AI$54="Leve"),CONCATENATE("R9C",'Mapa final'!$S$54),"")</f>
        <v/>
      </c>
      <c r="M44" s="64" t="str">
        <f ca="1">IF(AND('Mapa final'!$AG$55="Baja",'Mapa final'!$AI$55="Leve"),CONCATENATE("R9C",'Mapa final'!$S$55),"")</f>
        <v/>
      </c>
      <c r="N44" s="64" t="str">
        <f>IF(AND('Mapa final'!$AG$56="Baja",'Mapa final'!$AI$56="Leve"),CONCATENATE("R9C",'Mapa final'!$S$56),"")</f>
        <v/>
      </c>
      <c r="O44" s="65" t="str">
        <f>IF(AND('Mapa final'!$AG$57="Baja",'Mapa final'!$AI$57="Leve"),CONCATENATE("R9C",'Mapa final'!$S$57),"")</f>
        <v/>
      </c>
      <c r="P44" s="54" t="str">
        <f ca="1">IF(AND('Mapa final'!$AG$52="Baja",'Mapa final'!$AI$52="Menor"),CONCATENATE("R9C",'Mapa final'!$S$52),"")</f>
        <v/>
      </c>
      <c r="Q44" s="55" t="str">
        <f ca="1">IF(AND('Mapa final'!$AG$53="Baja",'Mapa final'!$AI$53="Menor"),CONCATENATE("R9C",'Mapa final'!$S$53),"")</f>
        <v/>
      </c>
      <c r="R44" s="55" t="str">
        <f ca="1">IF(AND('Mapa final'!$AG$54="Baja",'Mapa final'!$AI$54="Menor"),CONCATENATE("R9C",'Mapa final'!$S$54),"")</f>
        <v/>
      </c>
      <c r="S44" s="55" t="str">
        <f ca="1">IF(AND('Mapa final'!$AG$55="Baja",'Mapa final'!$AI$55="Menor"),CONCATENATE("R9C",'Mapa final'!$S$55),"")</f>
        <v/>
      </c>
      <c r="T44" s="55" t="str">
        <f>IF(AND('Mapa final'!$AG$56="Baja",'Mapa final'!$AI$56="Menor"),CONCATENATE("R9C",'Mapa final'!$S$56),"")</f>
        <v/>
      </c>
      <c r="U44" s="56" t="str">
        <f>IF(AND('Mapa final'!$AG$57="Baja",'Mapa final'!$AI$57="Menor"),CONCATENATE("R9C",'Mapa final'!$S$57),"")</f>
        <v/>
      </c>
      <c r="V44" s="54" t="str">
        <f ca="1">IF(AND('Mapa final'!$AG$52="Baja",'Mapa final'!$AI$52="Moderado"),CONCATENATE("R9C",'Mapa final'!$S$52),"")</f>
        <v/>
      </c>
      <c r="W44" s="55" t="str">
        <f ca="1">IF(AND('Mapa final'!$AG$53="Baja",'Mapa final'!$AI$53="Moderado"),CONCATENATE("R9C",'Mapa final'!$S$53),"")</f>
        <v/>
      </c>
      <c r="X44" s="55" t="str">
        <f ca="1">IF(AND('Mapa final'!$AG$54="Baja",'Mapa final'!$AI$54="Moderado"),CONCATENATE("R9C",'Mapa final'!$S$54),"")</f>
        <v/>
      </c>
      <c r="Y44" s="55" t="str">
        <f ca="1">IF(AND('Mapa final'!$AG$55="Baja",'Mapa final'!$AI$55="Moderado"),CONCATENATE("R9C",'Mapa final'!$S$55),"")</f>
        <v/>
      </c>
      <c r="Z44" s="55" t="str">
        <f>IF(AND('Mapa final'!$AG$56="Baja",'Mapa final'!$AI$56="Moderado"),CONCATENATE("R9C",'Mapa final'!$S$56),"")</f>
        <v/>
      </c>
      <c r="AA44" s="56" t="str">
        <f>IF(AND('Mapa final'!$AG$57="Baja",'Mapa final'!$AI$57="Moderado"),CONCATENATE("R9C",'Mapa final'!$S$57),"")</f>
        <v/>
      </c>
      <c r="AB44" s="38" t="str">
        <f ca="1">IF(AND('Mapa final'!$AG$52="Baja",'Mapa final'!$AI$52="Mayor"),CONCATENATE("R9C",'Mapa final'!$S$52),"")</f>
        <v/>
      </c>
      <c r="AC44" s="39" t="str">
        <f ca="1">IF(AND('Mapa final'!$AG$53="Baja",'Mapa final'!$AI$53="Mayor"),CONCATENATE("R9C",'Mapa final'!$S$53),"")</f>
        <v/>
      </c>
      <c r="AD44" s="44" t="str">
        <f ca="1">IF(AND('Mapa final'!$AG$54="Baja",'Mapa final'!$AI$54="Mayor"),CONCATENATE("R9C",'Mapa final'!$S$54),"")</f>
        <v/>
      </c>
      <c r="AE44" s="44" t="str">
        <f ca="1">IF(AND('Mapa final'!$AG$55="Baja",'Mapa final'!$AI$55="Mayor"),CONCATENATE("R9C",'Mapa final'!$S$55),"")</f>
        <v/>
      </c>
      <c r="AF44" s="44" t="str">
        <f>IF(AND('Mapa final'!$AG$56="Baja",'Mapa final'!$AI$56="Mayor"),CONCATENATE("R9C",'Mapa final'!$S$56),"")</f>
        <v/>
      </c>
      <c r="AG44" s="40" t="str">
        <f>IF(AND('Mapa final'!$AG$57="Baja",'Mapa final'!$AI$57="Mayor"),CONCATENATE("R9C",'Mapa final'!$S$57),"")</f>
        <v/>
      </c>
      <c r="AH44" s="41" t="str">
        <f ca="1">IF(AND('Mapa final'!$AG$52="Baja",'Mapa final'!$AI$52="Catastrófico"),CONCATENATE("R9C",'Mapa final'!$S$52),"")</f>
        <v/>
      </c>
      <c r="AI44" s="42" t="str">
        <f ca="1">IF(AND('Mapa final'!$AG$53="Baja",'Mapa final'!$AI$53="Catastrófico"),CONCATENATE("R9C",'Mapa final'!$S$53),"")</f>
        <v/>
      </c>
      <c r="AJ44" s="42" t="str">
        <f ca="1">IF(AND('Mapa final'!$AG$54="Baja",'Mapa final'!$AI$54="Catastrófico"),CONCATENATE("R9C",'Mapa final'!$S$54),"")</f>
        <v/>
      </c>
      <c r="AK44" s="42" t="str">
        <f ca="1">IF(AND('Mapa final'!$AG$55="Baja",'Mapa final'!$AI$55="Catastrófico"),CONCATENATE("R9C",'Mapa final'!$S$55),"")</f>
        <v/>
      </c>
      <c r="AL44" s="42" t="str">
        <f>IF(AND('Mapa final'!$AG$56="Baja",'Mapa final'!$AI$56="Catastrófico"),CONCATENATE("R9C",'Mapa final'!$S$56),"")</f>
        <v/>
      </c>
      <c r="AM44" s="43" t="str">
        <f>IF(AND('Mapa final'!$AG$57="Baja",'Mapa final'!$AI$57="Catastrófico"),CONCATENATE("R9C",'Mapa final'!$S$57),"")</f>
        <v/>
      </c>
      <c r="AN44" s="70"/>
      <c r="AO44" s="305"/>
      <c r="AP44" s="306"/>
      <c r="AQ44" s="306"/>
      <c r="AR44" s="306"/>
      <c r="AS44" s="306"/>
      <c r="AT44" s="307"/>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183"/>
      <c r="C45" s="183"/>
      <c r="D45" s="184"/>
      <c r="E45" s="286"/>
      <c r="F45" s="287"/>
      <c r="G45" s="287"/>
      <c r="H45" s="287"/>
      <c r="I45" s="287"/>
      <c r="J45" s="66" t="e">
        <f>IF(AND('Mapa final'!#REF!="Baja",'Mapa final'!#REF!="Leve"),CONCATENATE("R10C",'Mapa final'!#REF!),"")</f>
        <v>#REF!</v>
      </c>
      <c r="K45" s="67" t="e">
        <f>IF(AND('Mapa final'!#REF!="Baja",'Mapa final'!#REF!="Leve"),CONCATENATE("R10C",'Mapa final'!#REF!),"")</f>
        <v>#REF!</v>
      </c>
      <c r="L45" s="67" t="e">
        <f>IF(AND('Mapa final'!#REF!="Baja",'Mapa final'!#REF!="Leve"),CONCATENATE("R10C",'Mapa final'!#REF!),"")</f>
        <v>#REF!</v>
      </c>
      <c r="M45" s="67" t="e">
        <f>IF(AND('Mapa final'!#REF!="Baja",'Mapa final'!#REF!="Leve"),CONCATENATE("R10C",'Mapa final'!#REF!),"")</f>
        <v>#REF!</v>
      </c>
      <c r="N45" s="67" t="e">
        <f>IF(AND('Mapa final'!#REF!="Baja",'Mapa final'!#REF!="Leve"),CONCATENATE("R10C",'Mapa final'!#REF!),"")</f>
        <v>#REF!</v>
      </c>
      <c r="O45" s="68" t="e">
        <f>IF(AND('Mapa final'!#REF!="Baja",'Mapa final'!#REF!="Leve"),CONCATENATE("R10C",'Mapa final'!#REF!),"")</f>
        <v>#REF!</v>
      </c>
      <c r="P45" s="54" t="e">
        <f>IF(AND('Mapa final'!#REF!="Baja",'Mapa final'!#REF!="Menor"),CONCATENATE("R10C",'Mapa final'!#REF!),"")</f>
        <v>#REF!</v>
      </c>
      <c r="Q45" s="55" t="e">
        <f>IF(AND('Mapa final'!#REF!="Baja",'Mapa final'!#REF!="Menor"),CONCATENATE("R10C",'Mapa final'!#REF!),"")</f>
        <v>#REF!</v>
      </c>
      <c r="R45" s="55" t="e">
        <f>IF(AND('Mapa final'!#REF!="Baja",'Mapa final'!#REF!="Menor"),CONCATENATE("R10C",'Mapa final'!#REF!),"")</f>
        <v>#REF!</v>
      </c>
      <c r="S45" s="55" t="e">
        <f>IF(AND('Mapa final'!#REF!="Baja",'Mapa final'!#REF!="Menor"),CONCATENATE("R10C",'Mapa final'!#REF!),"")</f>
        <v>#REF!</v>
      </c>
      <c r="T45" s="55" t="e">
        <f>IF(AND('Mapa final'!#REF!="Baja",'Mapa final'!#REF!="Menor"),CONCATENATE("R10C",'Mapa final'!#REF!),"")</f>
        <v>#REF!</v>
      </c>
      <c r="U45" s="56" t="e">
        <f>IF(AND('Mapa final'!#REF!="Baja",'Mapa final'!#REF!="Menor"),CONCATENATE("R10C",'Mapa final'!#REF!),"")</f>
        <v>#REF!</v>
      </c>
      <c r="V45" s="57" t="e">
        <f>IF(AND('Mapa final'!#REF!="Baja",'Mapa final'!#REF!="Moderado"),CONCATENATE("R10C",'Mapa final'!#REF!),"")</f>
        <v>#REF!</v>
      </c>
      <c r="W45" s="58" t="e">
        <f>IF(AND('Mapa final'!#REF!="Baja",'Mapa final'!#REF!="Moderado"),CONCATENATE("R10C",'Mapa final'!#REF!),"")</f>
        <v>#REF!</v>
      </c>
      <c r="X45" s="58" t="e">
        <f>IF(AND('Mapa final'!#REF!="Baja",'Mapa final'!#REF!="Moderado"),CONCATENATE("R10C",'Mapa final'!#REF!),"")</f>
        <v>#REF!</v>
      </c>
      <c r="Y45" s="58" t="e">
        <f>IF(AND('Mapa final'!#REF!="Baja",'Mapa final'!#REF!="Moderado"),CONCATENATE("R10C",'Mapa final'!#REF!),"")</f>
        <v>#REF!</v>
      </c>
      <c r="Z45" s="58" t="e">
        <f>IF(AND('Mapa final'!#REF!="Baja",'Mapa final'!#REF!="Moderado"),CONCATENATE("R10C",'Mapa final'!#REF!),"")</f>
        <v>#REF!</v>
      </c>
      <c r="AA45" s="59" t="e">
        <f>IF(AND('Mapa final'!#REF!="Baja",'Mapa final'!#REF!="Moderado"),CONCATENATE("R10C",'Mapa final'!#REF!),"")</f>
        <v>#REF!</v>
      </c>
      <c r="AB45" s="45" t="e">
        <f>IF(AND('Mapa final'!#REF!="Baja",'Mapa final'!#REF!="Mayor"),CONCATENATE("R10C",'Mapa final'!#REF!),"")</f>
        <v>#REF!</v>
      </c>
      <c r="AC45" s="46" t="e">
        <f>IF(AND('Mapa final'!#REF!="Baja",'Mapa final'!#REF!="Mayor"),CONCATENATE("R10C",'Mapa final'!#REF!),"")</f>
        <v>#REF!</v>
      </c>
      <c r="AD45" s="46" t="e">
        <f>IF(AND('Mapa final'!#REF!="Baja",'Mapa final'!#REF!="Mayor"),CONCATENATE("R10C",'Mapa final'!#REF!),"")</f>
        <v>#REF!</v>
      </c>
      <c r="AE45" s="46" t="e">
        <f>IF(AND('Mapa final'!#REF!="Baja",'Mapa final'!#REF!="Mayor"),CONCATENATE("R10C",'Mapa final'!#REF!),"")</f>
        <v>#REF!</v>
      </c>
      <c r="AF45" s="46" t="e">
        <f>IF(AND('Mapa final'!#REF!="Baja",'Mapa final'!#REF!="Mayor"),CONCATENATE("R10C",'Mapa final'!#REF!),"")</f>
        <v>#REF!</v>
      </c>
      <c r="AG45" s="47" t="e">
        <f>IF(AND('Mapa final'!#REF!="Baja",'Mapa final'!#REF!="Mayor"),CONCATENATE("R10C",'Mapa final'!#REF!),"")</f>
        <v>#REF!</v>
      </c>
      <c r="AH45" s="48" t="e">
        <f>IF(AND('Mapa final'!#REF!="Baja",'Mapa final'!#REF!="Catastrófico"),CONCATENATE("R10C",'Mapa final'!#REF!),"")</f>
        <v>#REF!</v>
      </c>
      <c r="AI45" s="49" t="e">
        <f>IF(AND('Mapa final'!#REF!="Baja",'Mapa final'!#REF!="Catastrófico"),CONCATENATE("R10C",'Mapa final'!#REF!),"")</f>
        <v>#REF!</v>
      </c>
      <c r="AJ45" s="49" t="e">
        <f>IF(AND('Mapa final'!#REF!="Baja",'Mapa final'!#REF!="Catastrófico"),CONCATENATE("R10C",'Mapa final'!#REF!),"")</f>
        <v>#REF!</v>
      </c>
      <c r="AK45" s="49" t="e">
        <f>IF(AND('Mapa final'!#REF!="Baja",'Mapa final'!#REF!="Catastrófico"),CONCATENATE("R10C",'Mapa final'!#REF!),"")</f>
        <v>#REF!</v>
      </c>
      <c r="AL45" s="49" t="e">
        <f>IF(AND('Mapa final'!#REF!="Baja",'Mapa final'!#REF!="Catastrófico"),CONCATENATE("R10C",'Mapa final'!#REF!),"")</f>
        <v>#REF!</v>
      </c>
      <c r="AM45" s="50" t="e">
        <f>IF(AND('Mapa final'!#REF!="Baja",'Mapa final'!#REF!="Catastrófico"),CONCATENATE("R10C",'Mapa final'!#REF!),"")</f>
        <v>#REF!</v>
      </c>
      <c r="AN45" s="70"/>
      <c r="AO45" s="308"/>
      <c r="AP45" s="309"/>
      <c r="AQ45" s="309"/>
      <c r="AR45" s="309"/>
      <c r="AS45" s="309"/>
      <c r="AT45" s="310"/>
    </row>
    <row r="46" spans="1:80" ht="46.5" customHeight="1" x14ac:dyDescent="0.35">
      <c r="A46" s="70"/>
      <c r="B46" s="183"/>
      <c r="C46" s="183"/>
      <c r="D46" s="184"/>
      <c r="E46" s="280" t="s">
        <v>111</v>
      </c>
      <c r="F46" s="281"/>
      <c r="G46" s="281"/>
      <c r="H46" s="281"/>
      <c r="I46" s="299"/>
      <c r="J46" s="60" t="str">
        <f ca="1">IF(AND('Mapa final'!$AG$4="Muy Baja",'Mapa final'!$AI$4="Leve"),CONCATENATE("R1C",'Mapa final'!$S$4),"")</f>
        <v/>
      </c>
      <c r="K46" s="61" t="str">
        <f>IF(AND('Mapa final'!$AG$5="Muy Baja",'Mapa final'!$AI$5="Leve"),CONCATENATE("R1C",'Mapa final'!$S$5),"")</f>
        <v/>
      </c>
      <c r="L46" s="61" t="str">
        <f>IF(AND('Mapa final'!$AG$6="Muy Baja",'Mapa final'!$AI$6="Leve"),CONCATENATE("R1C",'Mapa final'!$S$6),"")</f>
        <v/>
      </c>
      <c r="M46" s="61" t="str">
        <f>IF(AND('Mapa final'!$AG$7="Muy Baja",'Mapa final'!$AI$7="Leve"),CONCATENATE("R1C",'Mapa final'!$S$7),"")</f>
        <v/>
      </c>
      <c r="N46" s="61" t="str">
        <f>IF(AND('Mapa final'!$AG$8="Muy Baja",'Mapa final'!$AI$8="Leve"),CONCATENATE("R1C",'Mapa final'!$S$8),"")</f>
        <v/>
      </c>
      <c r="O46" s="62" t="str">
        <f>IF(AND('Mapa final'!$AG$9="Muy Baja",'Mapa final'!$AI$9="Leve"),CONCATENATE("R1C",'Mapa final'!$S$9),"")</f>
        <v/>
      </c>
      <c r="P46" s="60" t="str">
        <f ca="1">IF(AND('Mapa final'!$AG$4="Muy Baja",'Mapa final'!$AI$4="Menor"),CONCATENATE("R1C",'Mapa final'!$S$4),"")</f>
        <v/>
      </c>
      <c r="Q46" s="61" t="str">
        <f>IF(AND('Mapa final'!$AG$5="Muy Baja",'Mapa final'!$AI$5="Menor"),CONCATENATE("R1C",'Mapa final'!$S$5),"")</f>
        <v/>
      </c>
      <c r="R46" s="61" t="str">
        <f>IF(AND('Mapa final'!$AG$6="Muy Baja",'Mapa final'!$AI$6="Menor"),CONCATENATE("R1C",'Mapa final'!$S$6),"")</f>
        <v/>
      </c>
      <c r="S46" s="61" t="str">
        <f>IF(AND('Mapa final'!$AG$7="Muy Baja",'Mapa final'!$AI$7="Menor"),CONCATENATE("R1C",'Mapa final'!$S$7),"")</f>
        <v/>
      </c>
      <c r="T46" s="61" t="str">
        <f>IF(AND('Mapa final'!$AG$8="Muy Baja",'Mapa final'!$AI$8="Menor"),CONCATENATE("R1C",'Mapa final'!$S$8),"")</f>
        <v/>
      </c>
      <c r="U46" s="62" t="str">
        <f>IF(AND('Mapa final'!$AG$9="Muy Baja",'Mapa final'!$AI$9="Menor"),CONCATENATE("R1C",'Mapa final'!$S$9),"")</f>
        <v/>
      </c>
      <c r="V46" s="51" t="str">
        <f ca="1">IF(AND('Mapa final'!$AG$4="Muy Baja",'Mapa final'!$AI$4="Moderado"),CONCATENATE("R1C",'Mapa final'!$S$4),"")</f>
        <v/>
      </c>
      <c r="W46" s="69" t="str">
        <f>IF(AND('Mapa final'!$AG$5="Muy Baja",'Mapa final'!$AI$5="Moderado"),CONCATENATE("R1C",'Mapa final'!$S$5),"")</f>
        <v/>
      </c>
      <c r="X46" s="52" t="str">
        <f>IF(AND('Mapa final'!$AG$6="Muy Baja",'Mapa final'!$AI$6="Moderado"),CONCATENATE("R1C",'Mapa final'!$S$6),"")</f>
        <v/>
      </c>
      <c r="Y46" s="52" t="str">
        <f>IF(AND('Mapa final'!$AG$7="Muy Baja",'Mapa final'!$AI$7="Moderado"),CONCATENATE("R1C",'Mapa final'!$S$7),"")</f>
        <v/>
      </c>
      <c r="Z46" s="52" t="str">
        <f>IF(AND('Mapa final'!$AG$8="Muy Baja",'Mapa final'!$AI$8="Moderado"),CONCATENATE("R1C",'Mapa final'!$S$8),"")</f>
        <v/>
      </c>
      <c r="AA46" s="53" t="str">
        <f>IF(AND('Mapa final'!$AG$9="Muy Baja",'Mapa final'!$AI$9="Moderado"),CONCATENATE("R1C",'Mapa final'!$S$9),"")</f>
        <v/>
      </c>
      <c r="AB46" s="32" t="str">
        <f ca="1">IF(AND('Mapa final'!$AG$4="Muy Baja",'Mapa final'!$AI$4="Mayor"),CONCATENATE("R1C",'Mapa final'!$S$4),"")</f>
        <v/>
      </c>
      <c r="AC46" s="33" t="str">
        <f>IF(AND('Mapa final'!$AG$5="Muy Baja",'Mapa final'!$AI$5="Mayor"),CONCATENATE("R1C",'Mapa final'!$S$5),"")</f>
        <v/>
      </c>
      <c r="AD46" s="33" t="str">
        <f>IF(AND('Mapa final'!$AG$6="Muy Baja",'Mapa final'!$AI$6="Mayor"),CONCATENATE("R1C",'Mapa final'!$S$6),"")</f>
        <v/>
      </c>
      <c r="AE46" s="33" t="str">
        <f>IF(AND('Mapa final'!$AG$7="Muy Baja",'Mapa final'!$AI$7="Mayor"),CONCATENATE("R1C",'Mapa final'!$S$7),"")</f>
        <v/>
      </c>
      <c r="AF46" s="33" t="str">
        <f>IF(AND('Mapa final'!$AG$8="Muy Baja",'Mapa final'!$AI$8="Mayor"),CONCATENATE("R1C",'Mapa final'!$S$8),"")</f>
        <v/>
      </c>
      <c r="AG46" s="34" t="str">
        <f>IF(AND('Mapa final'!$AG$9="Muy Baja",'Mapa final'!$AI$9="Mayor"),CONCATENATE("R1C",'Mapa final'!$S$9),"")</f>
        <v/>
      </c>
      <c r="AH46" s="35" t="str">
        <f ca="1">IF(AND('Mapa final'!$AG$4="Muy Baja",'Mapa final'!$AI$4="Catastrófico"),CONCATENATE("R1C",'Mapa final'!$S$4),"")</f>
        <v/>
      </c>
      <c r="AI46" s="36" t="str">
        <f>IF(AND('Mapa final'!$AG$5="Muy Baja",'Mapa final'!$AI$5="Catastrófico"),CONCATENATE("R1C",'Mapa final'!$S$5),"")</f>
        <v/>
      </c>
      <c r="AJ46" s="36" t="str">
        <f>IF(AND('Mapa final'!$AG$6="Muy Baja",'Mapa final'!$AI$6="Catastrófico"),CONCATENATE("R1C",'Mapa final'!$S$6),"")</f>
        <v/>
      </c>
      <c r="AK46" s="36" t="str">
        <f>IF(AND('Mapa final'!$AG$7="Muy Baja",'Mapa final'!$AI$7="Catastrófico"),CONCATENATE("R1C",'Mapa final'!$S$7),"")</f>
        <v/>
      </c>
      <c r="AL46" s="36" t="str">
        <f>IF(AND('Mapa final'!$AG$8="Muy Baja",'Mapa final'!$AI$8="Catastrófico"),CONCATENATE("R1C",'Mapa final'!$S$8),"")</f>
        <v/>
      </c>
      <c r="AM46" s="37" t="str">
        <f>IF(AND('Mapa final'!$AG$9="Muy Baja",'Mapa final'!$AI$9="Catastrófico"),CONCATENATE("R1C",'Mapa final'!$S$9),"")</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46.5" customHeight="1" x14ac:dyDescent="0.25">
      <c r="A47" s="70"/>
      <c r="B47" s="183"/>
      <c r="C47" s="183"/>
      <c r="D47" s="184"/>
      <c r="E47" s="282"/>
      <c r="F47" s="283"/>
      <c r="G47" s="283"/>
      <c r="H47" s="283"/>
      <c r="I47" s="300"/>
      <c r="J47" s="63" t="str">
        <f ca="1">IF(AND('Mapa final'!$AG$10="Muy Baja",'Mapa final'!$AI$10="Leve"),CONCATENATE("R2C",'Mapa final'!$S$10),"")</f>
        <v/>
      </c>
      <c r="K47" s="64" t="str">
        <f ca="1">IF(AND('Mapa final'!$AG$11="Muy Baja",'Mapa final'!$AI$11="Leve"),CONCATENATE("R2C",'Mapa final'!$S$11),"")</f>
        <v/>
      </c>
      <c r="L47" s="64" t="str">
        <f>IF(AND('Mapa final'!$AG$12="Muy Baja",'Mapa final'!$AI$12="Leve"),CONCATENATE("R2C",'Mapa final'!$S$12),"")</f>
        <v/>
      </c>
      <c r="M47" s="64" t="str">
        <f>IF(AND('Mapa final'!$AG$13="Muy Baja",'Mapa final'!$AI$13="Leve"),CONCATENATE("R2C",'Mapa final'!$S$13),"")</f>
        <v/>
      </c>
      <c r="N47" s="64" t="str">
        <f>IF(AND('Mapa final'!$AG$14="Muy Baja",'Mapa final'!$AI$14="Leve"),CONCATENATE("R2C",'Mapa final'!$S$14),"")</f>
        <v/>
      </c>
      <c r="O47" s="65" t="str">
        <f>IF(AND('Mapa final'!$AG$15="Muy Baja",'Mapa final'!$AI$15="Leve"),CONCATENATE("R2C",'Mapa final'!$S$15),"")</f>
        <v/>
      </c>
      <c r="P47" s="63" t="str">
        <f ca="1">IF(AND('Mapa final'!$AG$10="Muy Baja",'Mapa final'!$AI$10="Menor"),CONCATENATE("R2C",'Mapa final'!$S$10),"")</f>
        <v/>
      </c>
      <c r="Q47" s="64" t="str">
        <f ca="1">IF(AND('Mapa final'!$AG$11="Muy Baja",'Mapa final'!$AI$11="Menor"),CONCATENATE("R2C",'Mapa final'!$S$11),"")</f>
        <v/>
      </c>
      <c r="R47" s="64" t="str">
        <f>IF(AND('Mapa final'!$AG$12="Muy Baja",'Mapa final'!$AI$12="Menor"),CONCATENATE("R2C",'Mapa final'!$S$12),"")</f>
        <v/>
      </c>
      <c r="S47" s="64" t="str">
        <f>IF(AND('Mapa final'!$AG$13="Muy Baja",'Mapa final'!$AI$13="Menor"),CONCATENATE("R2C",'Mapa final'!$S$13),"")</f>
        <v/>
      </c>
      <c r="T47" s="64" t="str">
        <f>IF(AND('Mapa final'!$AG$14="Muy Baja",'Mapa final'!$AI$14="Menor"),CONCATENATE("R2C",'Mapa final'!$S$14),"")</f>
        <v/>
      </c>
      <c r="U47" s="65" t="str">
        <f>IF(AND('Mapa final'!$AG$15="Muy Baja",'Mapa final'!$AI$15="Menor"),CONCATENATE("R2C",'Mapa final'!$S$15),"")</f>
        <v/>
      </c>
      <c r="V47" s="54" t="str">
        <f ca="1">IF(AND('Mapa final'!$AG$10="Muy Baja",'Mapa final'!$AI$10="Moderado"),CONCATENATE("R2C",'Mapa final'!$S$10),"")</f>
        <v/>
      </c>
      <c r="W47" s="55" t="str">
        <f ca="1">IF(AND('Mapa final'!$AG$11="Muy Baja",'Mapa final'!$AI$11="Moderado"),CONCATENATE("R2C",'Mapa final'!$S$11),"")</f>
        <v/>
      </c>
      <c r="X47" s="55" t="str">
        <f>IF(AND('Mapa final'!$AG$12="Muy Baja",'Mapa final'!$AI$12="Moderado"),CONCATENATE("R2C",'Mapa final'!$S$12),"")</f>
        <v/>
      </c>
      <c r="Y47" s="55" t="str">
        <f>IF(AND('Mapa final'!$AG$13="Muy Baja",'Mapa final'!$AI$13="Moderado"),CONCATENATE("R2C",'Mapa final'!$S$13),"")</f>
        <v/>
      </c>
      <c r="Z47" s="55" t="str">
        <f>IF(AND('Mapa final'!$AG$14="Muy Baja",'Mapa final'!$AI$14="Moderado"),CONCATENATE("R2C",'Mapa final'!$S$14),"")</f>
        <v/>
      </c>
      <c r="AA47" s="56" t="str">
        <f>IF(AND('Mapa final'!$AG$15="Muy Baja",'Mapa final'!$AI$15="Moderado"),CONCATENATE("R2C",'Mapa final'!$S$15),"")</f>
        <v/>
      </c>
      <c r="AB47" s="38" t="str">
        <f ca="1">IF(AND('Mapa final'!$AG$10="Muy Baja",'Mapa final'!$AI$10="Mayor"),CONCATENATE("R2C",'Mapa final'!$S$10),"")</f>
        <v/>
      </c>
      <c r="AC47" s="39" t="str">
        <f ca="1">IF(AND('Mapa final'!$AG$11="Muy Baja",'Mapa final'!$AI$11="Mayor"),CONCATENATE("R2C",'Mapa final'!$S$11),"")</f>
        <v/>
      </c>
      <c r="AD47" s="39" t="str">
        <f>IF(AND('Mapa final'!$AG$12="Muy Baja",'Mapa final'!$AI$12="Mayor"),CONCATENATE("R2C",'Mapa final'!$S$12),"")</f>
        <v/>
      </c>
      <c r="AE47" s="39" t="str">
        <f>IF(AND('Mapa final'!$AG$13="Muy Baja",'Mapa final'!$AI$13="Mayor"),CONCATENATE("R2C",'Mapa final'!$S$13),"")</f>
        <v/>
      </c>
      <c r="AF47" s="39" t="str">
        <f>IF(AND('Mapa final'!$AG$14="Muy Baja",'Mapa final'!$AI$14="Mayor"),CONCATENATE("R2C",'Mapa final'!$S$14),"")</f>
        <v/>
      </c>
      <c r="AG47" s="40" t="str">
        <f>IF(AND('Mapa final'!$AG$15="Muy Baja",'Mapa final'!$AI$15="Mayor"),CONCATENATE("R2C",'Mapa final'!$S$15),"")</f>
        <v/>
      </c>
      <c r="AH47" s="41" t="str">
        <f ca="1">IF(AND('Mapa final'!$AG$10="Muy Baja",'Mapa final'!$AI$10="Catastrófico"),CONCATENATE("R2C",'Mapa final'!$S$10),"")</f>
        <v/>
      </c>
      <c r="AI47" s="42" t="str">
        <f ca="1">IF(AND('Mapa final'!$AG$11="Muy Baja",'Mapa final'!$AI$11="Catastrófico"),CONCATENATE("R2C",'Mapa final'!$S$11),"")</f>
        <v/>
      </c>
      <c r="AJ47" s="42" t="str">
        <f>IF(AND('Mapa final'!$AG$12="Muy Baja",'Mapa final'!$AI$12="Catastrófico"),CONCATENATE("R2C",'Mapa final'!$S$12),"")</f>
        <v/>
      </c>
      <c r="AK47" s="42" t="str">
        <f>IF(AND('Mapa final'!$AG$13="Muy Baja",'Mapa final'!$AI$13="Catastrófico"),CONCATENATE("R2C",'Mapa final'!$S$13),"")</f>
        <v/>
      </c>
      <c r="AL47" s="42" t="str">
        <f>IF(AND('Mapa final'!$AG$14="Muy Baja",'Mapa final'!$AI$14="Catastrófico"),CONCATENATE("R2C",'Mapa final'!$S$14),"")</f>
        <v/>
      </c>
      <c r="AM47" s="43" t="str">
        <f>IF(AND('Mapa final'!$AG$15="Muy Baja",'Mapa final'!$AI$15="Catastrófico"),CONCATENATE("R2C",'Mapa final'!$S$15),"")</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183"/>
      <c r="C48" s="183"/>
      <c r="D48" s="184"/>
      <c r="E48" s="282"/>
      <c r="F48" s="283"/>
      <c r="G48" s="283"/>
      <c r="H48" s="283"/>
      <c r="I48" s="300"/>
      <c r="J48" s="63" t="str">
        <f ca="1">IF(AND('Mapa final'!$AG$16="Muy Baja",'Mapa final'!$AI$16="Leve"),CONCATENATE("R3C",'Mapa final'!$S$16),"")</f>
        <v/>
      </c>
      <c r="K48" s="64" t="str">
        <f ca="1">IF(AND('Mapa final'!$AG$17="Muy Baja",'Mapa final'!$AI$17="Leve"),CONCATENATE("R3C",'Mapa final'!$S$17),"")</f>
        <v/>
      </c>
      <c r="L48" s="64" t="str">
        <f>IF(AND('Mapa final'!$AG$18="Muy Baja",'Mapa final'!$AI$18="Leve"),CONCATENATE("R3C",'Mapa final'!$S$18),"")</f>
        <v/>
      </c>
      <c r="M48" s="64" t="str">
        <f>IF(AND('Mapa final'!$AG$19="Muy Baja",'Mapa final'!$AI$19="Leve"),CONCATENATE("R3C",'Mapa final'!$S$19),"")</f>
        <v/>
      </c>
      <c r="N48" s="64" t="str">
        <f>IF(AND('Mapa final'!$AG$20="Muy Baja",'Mapa final'!$AI$20="Leve"),CONCATENATE("R3C",'Mapa final'!$S$20),"")</f>
        <v/>
      </c>
      <c r="O48" s="65" t="str">
        <f>IF(AND('Mapa final'!$AG$21="Muy Baja",'Mapa final'!$AI$21="Leve"),CONCATENATE("R3C",'Mapa final'!$S$21),"")</f>
        <v/>
      </c>
      <c r="P48" s="63" t="str">
        <f ca="1">IF(AND('Mapa final'!$AG$16="Muy Baja",'Mapa final'!$AI$16="Menor"),CONCATENATE("R3C",'Mapa final'!$S$16),"")</f>
        <v/>
      </c>
      <c r="Q48" s="64" t="str">
        <f ca="1">IF(AND('Mapa final'!$AG$17="Muy Baja",'Mapa final'!$AI$17="Menor"),CONCATENATE("R3C",'Mapa final'!$S$17),"")</f>
        <v/>
      </c>
      <c r="R48" s="64" t="str">
        <f>IF(AND('Mapa final'!$AG$18="Muy Baja",'Mapa final'!$AI$18="Menor"),CONCATENATE("R3C",'Mapa final'!$S$18),"")</f>
        <v/>
      </c>
      <c r="S48" s="64" t="str">
        <f>IF(AND('Mapa final'!$AG$19="Muy Baja",'Mapa final'!$AI$19="Menor"),CONCATENATE("R3C",'Mapa final'!$S$19),"")</f>
        <v/>
      </c>
      <c r="T48" s="64" t="str">
        <f>IF(AND('Mapa final'!$AG$20="Muy Baja",'Mapa final'!$AI$20="Menor"),CONCATENATE("R3C",'Mapa final'!$S$20),"")</f>
        <v/>
      </c>
      <c r="U48" s="65" t="str">
        <f>IF(AND('Mapa final'!$AG$21="Muy Baja",'Mapa final'!$AI$21="Menor"),CONCATENATE("R3C",'Mapa final'!$S$21),"")</f>
        <v/>
      </c>
      <c r="V48" s="54" t="str">
        <f ca="1">IF(AND('Mapa final'!$AG$16="Muy Baja",'Mapa final'!$AI$16="Moderado"),CONCATENATE("R3C",'Mapa final'!$S$16),"")</f>
        <v/>
      </c>
      <c r="W48" s="55" t="str">
        <f ca="1">IF(AND('Mapa final'!$AG$17="Muy Baja",'Mapa final'!$AI$17="Moderado"),CONCATENATE("R3C",'Mapa final'!$S$17),"")</f>
        <v/>
      </c>
      <c r="X48" s="55" t="str">
        <f>IF(AND('Mapa final'!$AG$18="Muy Baja",'Mapa final'!$AI$18="Moderado"),CONCATENATE("R3C",'Mapa final'!$S$18),"")</f>
        <v/>
      </c>
      <c r="Y48" s="55" t="str">
        <f>IF(AND('Mapa final'!$AG$19="Muy Baja",'Mapa final'!$AI$19="Moderado"),CONCATENATE("R3C",'Mapa final'!$S$19),"")</f>
        <v/>
      </c>
      <c r="Z48" s="55" t="str">
        <f>IF(AND('Mapa final'!$AG$20="Muy Baja",'Mapa final'!$AI$20="Moderado"),CONCATENATE("R3C",'Mapa final'!$S$20),"")</f>
        <v/>
      </c>
      <c r="AA48" s="56" t="str">
        <f>IF(AND('Mapa final'!$AG$21="Muy Baja",'Mapa final'!$AI$21="Moderado"),CONCATENATE("R3C",'Mapa final'!$S$21),"")</f>
        <v/>
      </c>
      <c r="AB48" s="38" t="str">
        <f ca="1">IF(AND('Mapa final'!$AG$16="Muy Baja",'Mapa final'!$AI$16="Mayor"),CONCATENATE("R3C",'Mapa final'!$S$16),"")</f>
        <v/>
      </c>
      <c r="AC48" s="39" t="str">
        <f ca="1">IF(AND('Mapa final'!$AG$17="Muy Baja",'Mapa final'!$AI$17="Mayor"),CONCATENATE("R3C",'Mapa final'!$S$17),"")</f>
        <v/>
      </c>
      <c r="AD48" s="39" t="str">
        <f>IF(AND('Mapa final'!$AG$18="Muy Baja",'Mapa final'!$AI$18="Mayor"),CONCATENATE("R3C",'Mapa final'!$S$18),"")</f>
        <v/>
      </c>
      <c r="AE48" s="39" t="str">
        <f>IF(AND('Mapa final'!$AG$19="Muy Baja",'Mapa final'!$AI$19="Mayor"),CONCATENATE("R3C",'Mapa final'!$S$19),"")</f>
        <v/>
      </c>
      <c r="AF48" s="39" t="str">
        <f>IF(AND('Mapa final'!$AG$20="Muy Baja",'Mapa final'!$AI$20="Mayor"),CONCATENATE("R3C",'Mapa final'!$S$20),"")</f>
        <v/>
      </c>
      <c r="AG48" s="40" t="str">
        <f>IF(AND('Mapa final'!$AG$21="Muy Baja",'Mapa final'!$AI$21="Mayor"),CONCATENATE("R3C",'Mapa final'!$S$21),"")</f>
        <v/>
      </c>
      <c r="AH48" s="41" t="str">
        <f ca="1">IF(AND('Mapa final'!$AG$16="Muy Baja",'Mapa final'!$AI$16="Catastrófico"),CONCATENATE("R3C",'Mapa final'!$S$16),"")</f>
        <v/>
      </c>
      <c r="AI48" s="42" t="str">
        <f ca="1">IF(AND('Mapa final'!$AG$17="Muy Baja",'Mapa final'!$AI$17="Catastrófico"),CONCATENATE("R3C",'Mapa final'!$S$17),"")</f>
        <v/>
      </c>
      <c r="AJ48" s="42" t="str">
        <f>IF(AND('Mapa final'!$AG$18="Muy Baja",'Mapa final'!$AI$18="Catastrófico"),CONCATENATE("R3C",'Mapa final'!$S$18),"")</f>
        <v/>
      </c>
      <c r="AK48" s="42" t="str">
        <f>IF(AND('Mapa final'!$AG$19="Muy Baja",'Mapa final'!$AI$19="Catastrófico"),CONCATENATE("R3C",'Mapa final'!$S$19),"")</f>
        <v/>
      </c>
      <c r="AL48" s="42" t="str">
        <f>IF(AND('Mapa final'!$AG$20="Muy Baja",'Mapa final'!$AI$20="Catastrófico"),CONCATENATE("R3C",'Mapa final'!$S$20),"")</f>
        <v/>
      </c>
      <c r="AM48" s="43" t="str">
        <f>IF(AND('Mapa final'!$AG$21="Muy Baja",'Mapa final'!$AI$21="Catastrófico"),CONCATENATE("R3C",'Mapa final'!$S$21),"")</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183"/>
      <c r="C49" s="183"/>
      <c r="D49" s="184"/>
      <c r="E49" s="284"/>
      <c r="F49" s="285"/>
      <c r="G49" s="285"/>
      <c r="H49" s="285"/>
      <c r="I49" s="300"/>
      <c r="J49" s="63" t="str">
        <f ca="1">IF(AND('Mapa final'!$AG$22="Muy Baja",'Mapa final'!$AI$22="Leve"),CONCATENATE("R4C",'Mapa final'!$S$22),"")</f>
        <v/>
      </c>
      <c r="K49" s="64" t="str">
        <f ca="1">IF(AND('Mapa final'!$AG$23="Muy Baja",'Mapa final'!$AI$23="Leve"),CONCATENATE("R4C",'Mapa final'!$S$23),"")</f>
        <v/>
      </c>
      <c r="L49" s="64" t="str">
        <f ca="1">IF(AND('Mapa final'!$AG$24="Muy Baja",'Mapa final'!$AI$24="Leve"),CONCATENATE("R4C",'Mapa final'!$S$24),"")</f>
        <v/>
      </c>
      <c r="M49" s="64" t="str">
        <f>IF(AND('Mapa final'!$AG$25="Muy Baja",'Mapa final'!$AI$25="Leve"),CONCATENATE("R4C",'Mapa final'!$S$25),"")</f>
        <v/>
      </c>
      <c r="N49" s="64" t="str">
        <f>IF(AND('Mapa final'!$AG$26="Muy Baja",'Mapa final'!$AI$26="Leve"),CONCATENATE("R4C",'Mapa final'!$S$26),"")</f>
        <v/>
      </c>
      <c r="O49" s="65" t="str">
        <f>IF(AND('Mapa final'!$AG$27="Muy Baja",'Mapa final'!$AI$27="Leve"),CONCATENATE("R4C",'Mapa final'!$S$27),"")</f>
        <v/>
      </c>
      <c r="P49" s="63" t="str">
        <f ca="1">IF(AND('Mapa final'!$AG$22="Muy Baja",'Mapa final'!$AI$22="Menor"),CONCATENATE("R4C",'Mapa final'!$S$22),"")</f>
        <v/>
      </c>
      <c r="Q49" s="64" t="str">
        <f ca="1">IF(AND('Mapa final'!$AG$23="Muy Baja",'Mapa final'!$AI$23="Menor"),CONCATENATE("R4C",'Mapa final'!$S$23),"")</f>
        <v/>
      </c>
      <c r="R49" s="64" t="str">
        <f ca="1">IF(AND('Mapa final'!$AG$24="Muy Baja",'Mapa final'!$AI$24="Menor"),CONCATENATE("R4C",'Mapa final'!$S$24),"")</f>
        <v/>
      </c>
      <c r="S49" s="64" t="str">
        <f>IF(AND('Mapa final'!$AG$25="Muy Baja",'Mapa final'!$AI$25="Menor"),CONCATENATE("R4C",'Mapa final'!$S$25),"")</f>
        <v/>
      </c>
      <c r="T49" s="64" t="str">
        <f>IF(AND('Mapa final'!$AG$26="Muy Baja",'Mapa final'!$AI$26="Menor"),CONCATENATE("R4C",'Mapa final'!$S$26),"")</f>
        <v/>
      </c>
      <c r="U49" s="65" t="str">
        <f>IF(AND('Mapa final'!$AG$27="Muy Baja",'Mapa final'!$AI$27="Menor"),CONCATENATE("R4C",'Mapa final'!$S$27),"")</f>
        <v/>
      </c>
      <c r="V49" s="54" t="str">
        <f ca="1">IF(AND('Mapa final'!$AG$22="Muy Baja",'Mapa final'!$AI$22="Moderado"),CONCATENATE("R4C",'Mapa final'!$S$22),"")</f>
        <v>R4C1</v>
      </c>
      <c r="W49" s="55" t="str">
        <f ca="1">IF(AND('Mapa final'!$AG$23="Muy Baja",'Mapa final'!$AI$23="Moderado"),CONCATENATE("R4C",'Mapa final'!$S$23),"")</f>
        <v>R4C2</v>
      </c>
      <c r="X49" s="55" t="str">
        <f ca="1">IF(AND('Mapa final'!$AG$24="Muy Baja",'Mapa final'!$AI$24="Moderado"),CONCATENATE("R4C",'Mapa final'!$S$24),"")</f>
        <v>R4C3</v>
      </c>
      <c r="Y49" s="55" t="str">
        <f>IF(AND('Mapa final'!$AG$25="Muy Baja",'Mapa final'!$AI$25="Moderado"),CONCATENATE("R4C",'Mapa final'!$S$25),"")</f>
        <v/>
      </c>
      <c r="Z49" s="55" t="str">
        <f>IF(AND('Mapa final'!$AG$26="Muy Baja",'Mapa final'!$AI$26="Moderado"),CONCATENATE("R4C",'Mapa final'!$S$26),"")</f>
        <v/>
      </c>
      <c r="AA49" s="56" t="str">
        <f>IF(AND('Mapa final'!$AG$27="Muy Baja",'Mapa final'!$AI$27="Moderado"),CONCATENATE("R4C",'Mapa final'!$S$27),"")</f>
        <v/>
      </c>
      <c r="AB49" s="38" t="str">
        <f ca="1">IF(AND('Mapa final'!$AG$22="Muy Baja",'Mapa final'!$AI$22="Mayor"),CONCATENATE("R4C",'Mapa final'!$S$22),"")</f>
        <v/>
      </c>
      <c r="AC49" s="39" t="str">
        <f ca="1">IF(AND('Mapa final'!$AG$23="Muy Baja",'Mapa final'!$AI$23="Mayor"),CONCATENATE("R4C",'Mapa final'!$S$23),"")</f>
        <v/>
      </c>
      <c r="AD49" s="39" t="str">
        <f ca="1">IF(AND('Mapa final'!$AG$24="Muy Baja",'Mapa final'!$AI$24="Mayor"),CONCATENATE("R4C",'Mapa final'!$S$24),"")</f>
        <v/>
      </c>
      <c r="AE49" s="39" t="str">
        <f>IF(AND('Mapa final'!$AG$25="Muy Baja",'Mapa final'!$AI$25="Mayor"),CONCATENATE("R4C",'Mapa final'!$S$25),"")</f>
        <v/>
      </c>
      <c r="AF49" s="39" t="str">
        <f>IF(AND('Mapa final'!$AG$26="Muy Baja",'Mapa final'!$AI$26="Mayor"),CONCATENATE("R4C",'Mapa final'!$S$26),"")</f>
        <v/>
      </c>
      <c r="AG49" s="40" t="str">
        <f>IF(AND('Mapa final'!$AG$27="Muy Baja",'Mapa final'!$AI$27="Mayor"),CONCATENATE("R4C",'Mapa final'!$S$27),"")</f>
        <v/>
      </c>
      <c r="AH49" s="41" t="str">
        <f ca="1">IF(AND('Mapa final'!$AG$22="Muy Baja",'Mapa final'!$AI$22="Catastrófico"),CONCATENATE("R4C",'Mapa final'!$S$22),"")</f>
        <v/>
      </c>
      <c r="AI49" s="42" t="str">
        <f ca="1">IF(AND('Mapa final'!$AG$23="Muy Baja",'Mapa final'!$AI$23="Catastrófico"),CONCATENATE("R4C",'Mapa final'!$S$23),"")</f>
        <v/>
      </c>
      <c r="AJ49" s="42" t="str">
        <f ca="1">IF(AND('Mapa final'!$AG$24="Muy Baja",'Mapa final'!$AI$24="Catastrófico"),CONCATENATE("R4C",'Mapa final'!$S$24),"")</f>
        <v/>
      </c>
      <c r="AK49" s="42" t="str">
        <f>IF(AND('Mapa final'!$AG$25="Muy Baja",'Mapa final'!$AI$25="Catastrófico"),CONCATENATE("R4C",'Mapa final'!$S$25),"")</f>
        <v/>
      </c>
      <c r="AL49" s="42" t="str">
        <f>IF(AND('Mapa final'!$AG$26="Muy Baja",'Mapa final'!$AI$26="Catastrófico"),CONCATENATE("R4C",'Mapa final'!$S$26),"")</f>
        <v/>
      </c>
      <c r="AM49" s="43" t="str">
        <f>IF(AND('Mapa final'!$AG$27="Muy Baja",'Mapa final'!$AI$27="Catastrófico"),CONCATENATE("R4C",'Mapa final'!$S$27),"")</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183"/>
      <c r="C50" s="183"/>
      <c r="D50" s="184"/>
      <c r="E50" s="284"/>
      <c r="F50" s="285"/>
      <c r="G50" s="285"/>
      <c r="H50" s="285"/>
      <c r="I50" s="300"/>
      <c r="J50" s="63" t="str">
        <f ca="1">IF(AND('Mapa final'!$AG$28="Muy Baja",'Mapa final'!$AI$28="Leve"),CONCATENATE("R5C",'Mapa final'!$S$28),"")</f>
        <v/>
      </c>
      <c r="K50" s="64" t="str">
        <f ca="1">IF(AND('Mapa final'!$AG$29="Muy Baja",'Mapa final'!$AI$29="Leve"),CONCATENATE("R5C",'Mapa final'!$S$29),"")</f>
        <v/>
      </c>
      <c r="L50" s="64" t="str">
        <f>IF(AND('Mapa final'!$AG$30="Muy Baja",'Mapa final'!$AI$30="Leve"),CONCATENATE("R5C",'Mapa final'!$S$30),"")</f>
        <v/>
      </c>
      <c r="M50" s="64" t="str">
        <f>IF(AND('Mapa final'!$AG$31="Muy Baja",'Mapa final'!$AI$31="Leve"),CONCATENATE("R5C",'Mapa final'!$S$31),"")</f>
        <v/>
      </c>
      <c r="N50" s="64" t="str">
        <f>IF(AND('Mapa final'!$AG$32="Muy Baja",'Mapa final'!$AI$32="Leve"),CONCATENATE("R5C",'Mapa final'!$S$32),"")</f>
        <v/>
      </c>
      <c r="O50" s="65" t="str">
        <f>IF(AND('Mapa final'!$AG$33="Muy Baja",'Mapa final'!$AI$33="Leve"),CONCATENATE("R5C",'Mapa final'!$S$33),"")</f>
        <v/>
      </c>
      <c r="P50" s="63" t="str">
        <f ca="1">IF(AND('Mapa final'!$AG$28="Muy Baja",'Mapa final'!$AI$28="Menor"),CONCATENATE("R5C",'Mapa final'!$S$28),"")</f>
        <v/>
      </c>
      <c r="Q50" s="64" t="str">
        <f ca="1">IF(AND('Mapa final'!$AG$29="Muy Baja",'Mapa final'!$AI$29="Menor"),CONCATENATE("R5C",'Mapa final'!$S$29),"")</f>
        <v/>
      </c>
      <c r="R50" s="64" t="str">
        <f>IF(AND('Mapa final'!$AG$30="Muy Baja",'Mapa final'!$AI$30="Menor"),CONCATENATE("R5C",'Mapa final'!$S$30),"")</f>
        <v/>
      </c>
      <c r="S50" s="64" t="str">
        <f>IF(AND('Mapa final'!$AG$31="Muy Baja",'Mapa final'!$AI$31="Menor"),CONCATENATE("R5C",'Mapa final'!$S$31),"")</f>
        <v/>
      </c>
      <c r="T50" s="64" t="str">
        <f>IF(AND('Mapa final'!$AG$32="Muy Baja",'Mapa final'!$AI$32="Menor"),CONCATENATE("R5C",'Mapa final'!$S$32),"")</f>
        <v/>
      </c>
      <c r="U50" s="65" t="str">
        <f>IF(AND('Mapa final'!$AG$33="Muy Baja",'Mapa final'!$AI$33="Menor"),CONCATENATE("R5C",'Mapa final'!$S$33),"")</f>
        <v/>
      </c>
      <c r="V50" s="54" t="str">
        <f ca="1">IF(AND('Mapa final'!$AG$28="Muy Baja",'Mapa final'!$AI$28="Moderado"),CONCATENATE("R5C",'Mapa final'!$S$28),"")</f>
        <v/>
      </c>
      <c r="W50" s="55" t="str">
        <f ca="1">IF(AND('Mapa final'!$AG$29="Muy Baja",'Mapa final'!$AI$29="Moderado"),CONCATENATE("R5C",'Mapa final'!$S$29),"")</f>
        <v/>
      </c>
      <c r="X50" s="55" t="str">
        <f>IF(AND('Mapa final'!$AG$30="Muy Baja",'Mapa final'!$AI$30="Moderado"),CONCATENATE("R5C",'Mapa final'!$S$30),"")</f>
        <v/>
      </c>
      <c r="Y50" s="55" t="str">
        <f>IF(AND('Mapa final'!$AG$31="Muy Baja",'Mapa final'!$AI$31="Moderado"),CONCATENATE("R5C",'Mapa final'!$S$31),"")</f>
        <v/>
      </c>
      <c r="Z50" s="55" t="str">
        <f>IF(AND('Mapa final'!$AG$32="Muy Baja",'Mapa final'!$AI$32="Moderado"),CONCATENATE("R5C",'Mapa final'!$S$32),"")</f>
        <v/>
      </c>
      <c r="AA50" s="56" t="str">
        <f>IF(AND('Mapa final'!$AG$33="Muy Baja",'Mapa final'!$AI$33="Moderado"),CONCATENATE("R5C",'Mapa final'!$S$33),"")</f>
        <v/>
      </c>
      <c r="AB50" s="38" t="str">
        <f ca="1">IF(AND('Mapa final'!$AG$28="Muy Baja",'Mapa final'!$AI$28="Mayor"),CONCATENATE("R5C",'Mapa final'!$S$28),"")</f>
        <v/>
      </c>
      <c r="AC50" s="39" t="str">
        <f ca="1">IF(AND('Mapa final'!$AG$29="Muy Baja",'Mapa final'!$AI$29="Mayor"),CONCATENATE("R5C",'Mapa final'!$S$29),"")</f>
        <v/>
      </c>
      <c r="AD50" s="44" t="str">
        <f>IF(AND('Mapa final'!$AG$30="Muy Baja",'Mapa final'!$AI$30="Mayor"),CONCATENATE("R5C",'Mapa final'!$S$30),"")</f>
        <v/>
      </c>
      <c r="AE50" s="44" t="str">
        <f>IF(AND('Mapa final'!$AG$31="Muy Baja",'Mapa final'!$AI$31="Mayor"),CONCATENATE("R5C",'Mapa final'!$S$31),"")</f>
        <v/>
      </c>
      <c r="AF50" s="44" t="str">
        <f>IF(AND('Mapa final'!$AG$32="Muy Baja",'Mapa final'!$AI$32="Mayor"),CONCATENATE("R5C",'Mapa final'!$S$32),"")</f>
        <v/>
      </c>
      <c r="AG50" s="40" t="str">
        <f>IF(AND('Mapa final'!$AG$33="Muy Baja",'Mapa final'!$AI$33="Mayor"),CONCATENATE("R5C",'Mapa final'!$S$33),"")</f>
        <v/>
      </c>
      <c r="AH50" s="41" t="str">
        <f ca="1">IF(AND('Mapa final'!$AG$28="Muy Baja",'Mapa final'!$AI$28="Catastrófico"),CONCATENATE("R5C",'Mapa final'!$S$28),"")</f>
        <v/>
      </c>
      <c r="AI50" s="42" t="str">
        <f ca="1">IF(AND('Mapa final'!$AG$29="Muy Baja",'Mapa final'!$AI$29="Catastrófico"),CONCATENATE("R5C",'Mapa final'!$S$29),"")</f>
        <v/>
      </c>
      <c r="AJ50" s="42" t="str">
        <f>IF(AND('Mapa final'!$AG$30="Muy Baja",'Mapa final'!$AI$30="Catastrófico"),CONCATENATE("R5C",'Mapa final'!$S$30),"")</f>
        <v/>
      </c>
      <c r="AK50" s="42" t="str">
        <f>IF(AND('Mapa final'!$AG$31="Muy Baja",'Mapa final'!$AI$31="Catastrófico"),CONCATENATE("R5C",'Mapa final'!$S$31),"")</f>
        <v/>
      </c>
      <c r="AL50" s="42" t="str">
        <f>IF(AND('Mapa final'!$AG$32="Muy Baja",'Mapa final'!$AI$32="Catastrófico"),CONCATENATE("R5C",'Mapa final'!$S$32),"")</f>
        <v/>
      </c>
      <c r="AM50" s="43" t="str">
        <f>IF(AND('Mapa final'!$AG$33="Muy Baja",'Mapa final'!$AI$33="Catastrófico"),CONCATENATE("R5C",'Mapa final'!$S$33),"")</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183"/>
      <c r="C51" s="183"/>
      <c r="D51" s="184"/>
      <c r="E51" s="284"/>
      <c r="F51" s="285"/>
      <c r="G51" s="285"/>
      <c r="H51" s="285"/>
      <c r="I51" s="300"/>
      <c r="J51" s="63" t="str">
        <f ca="1">IF(AND('Mapa final'!$AG$34="Muy Baja",'Mapa final'!$AI$34="Leve"),CONCATENATE("R6C",'Mapa final'!$S$34),"")</f>
        <v/>
      </c>
      <c r="K51" s="64" t="str">
        <f ca="1">IF(AND('Mapa final'!$AG$35="Muy Baja",'Mapa final'!$AI$35="Leve"),CONCATENATE("R6C",'Mapa final'!$S$35),"")</f>
        <v/>
      </c>
      <c r="L51" s="64" t="str">
        <f ca="1">IF(AND('Mapa final'!$AG$36="Muy Baja",'Mapa final'!$AI$36="Leve"),CONCATENATE("R6C",'Mapa final'!$S$36),"")</f>
        <v/>
      </c>
      <c r="M51" s="64" t="str">
        <f ca="1">IF(AND('Mapa final'!$AG$37="Muy Baja",'Mapa final'!$AI$37="Leve"),CONCATENATE("R6C",'Mapa final'!$S$37),"")</f>
        <v/>
      </c>
      <c r="N51" s="64" t="str">
        <f>IF(AND('Mapa final'!$AG$38="Muy Baja",'Mapa final'!$AI$38="Leve"),CONCATENATE("R6C",'Mapa final'!$S$38),"")</f>
        <v/>
      </c>
      <c r="O51" s="65" t="str">
        <f>IF(AND('Mapa final'!$AG$39="Muy Baja",'Mapa final'!$AI$39="Leve"),CONCATENATE("R6C",'Mapa final'!$S$39),"")</f>
        <v/>
      </c>
      <c r="P51" s="63" t="str">
        <f ca="1">IF(AND('Mapa final'!$AG$34="Muy Baja",'Mapa final'!$AI$34="Menor"),CONCATENATE("R6C",'Mapa final'!$S$34),"")</f>
        <v/>
      </c>
      <c r="Q51" s="64" t="str">
        <f ca="1">IF(AND('Mapa final'!$AG$35="Muy Baja",'Mapa final'!$AI$35="Menor"),CONCATENATE("R6C",'Mapa final'!$S$35),"")</f>
        <v/>
      </c>
      <c r="R51" s="64" t="str">
        <f ca="1">IF(AND('Mapa final'!$AG$36="Muy Baja",'Mapa final'!$AI$36="Menor"),CONCATENATE("R6C",'Mapa final'!$S$36),"")</f>
        <v/>
      </c>
      <c r="S51" s="64" t="str">
        <f ca="1">IF(AND('Mapa final'!$AG$37="Muy Baja",'Mapa final'!$AI$37="Menor"),CONCATENATE("R6C",'Mapa final'!$S$37),"")</f>
        <v/>
      </c>
      <c r="T51" s="64" t="str">
        <f>IF(AND('Mapa final'!$AG$38="Muy Baja",'Mapa final'!$AI$38="Menor"),CONCATENATE("R6C",'Mapa final'!$S$38),"")</f>
        <v/>
      </c>
      <c r="U51" s="65" t="str">
        <f>IF(AND('Mapa final'!$AG$39="Muy Baja",'Mapa final'!$AI$39="Menor"),CONCATENATE("R6C",'Mapa final'!$S$39),"")</f>
        <v/>
      </c>
      <c r="V51" s="54" t="str">
        <f ca="1">IF(AND('Mapa final'!$AG$34="Muy Baja",'Mapa final'!$AI$34="Moderado"),CONCATENATE("R6C",'Mapa final'!$S$34),"")</f>
        <v>R6C1</v>
      </c>
      <c r="W51" s="55" t="str">
        <f ca="1">IF(AND('Mapa final'!$AG$35="Muy Baja",'Mapa final'!$AI$35="Moderado"),CONCATENATE("R6C",'Mapa final'!$S$35),"")</f>
        <v>R6C2</v>
      </c>
      <c r="X51" s="55" t="str">
        <f ca="1">IF(AND('Mapa final'!$AG$36="Muy Baja",'Mapa final'!$AI$36="Moderado"),CONCATENATE("R6C",'Mapa final'!$S$36),"")</f>
        <v>R6C3</v>
      </c>
      <c r="Y51" s="55" t="str">
        <f ca="1">IF(AND('Mapa final'!$AG$37="Muy Baja",'Mapa final'!$AI$37="Moderado"),CONCATENATE("R6C",'Mapa final'!$S$37),"")</f>
        <v>R6C4</v>
      </c>
      <c r="Z51" s="55" t="str">
        <f>IF(AND('Mapa final'!$AG$38="Muy Baja",'Mapa final'!$AI$38="Moderado"),CONCATENATE("R6C",'Mapa final'!$S$38),"")</f>
        <v/>
      </c>
      <c r="AA51" s="56" t="str">
        <f>IF(AND('Mapa final'!$AG$39="Muy Baja",'Mapa final'!$AI$39="Moderado"),CONCATENATE("R6C",'Mapa final'!$S$39),"")</f>
        <v/>
      </c>
      <c r="AB51" s="38" t="str">
        <f ca="1">IF(AND('Mapa final'!$AG$34="Muy Baja",'Mapa final'!$AI$34="Mayor"),CONCATENATE("R6C",'Mapa final'!$S$34),"")</f>
        <v/>
      </c>
      <c r="AC51" s="39" t="str">
        <f ca="1">IF(AND('Mapa final'!$AG$35="Muy Baja",'Mapa final'!$AI$35="Mayor"),CONCATENATE("R6C",'Mapa final'!$S$35),"")</f>
        <v/>
      </c>
      <c r="AD51" s="44" t="str">
        <f ca="1">IF(AND('Mapa final'!$AG$36="Muy Baja",'Mapa final'!$AI$36="Mayor"),CONCATENATE("R6C",'Mapa final'!$S$36),"")</f>
        <v/>
      </c>
      <c r="AE51" s="44" t="str">
        <f ca="1">IF(AND('Mapa final'!$AG$37="Muy Baja",'Mapa final'!$AI$37="Mayor"),CONCATENATE("R6C",'Mapa final'!$S$37),"")</f>
        <v/>
      </c>
      <c r="AF51" s="44" t="str">
        <f>IF(AND('Mapa final'!$AG$38="Muy Baja",'Mapa final'!$AI$38="Mayor"),CONCATENATE("R6C",'Mapa final'!$S$38),"")</f>
        <v/>
      </c>
      <c r="AG51" s="40" t="str">
        <f>IF(AND('Mapa final'!$AG$39="Muy Baja",'Mapa final'!$AI$39="Mayor"),CONCATENATE("R6C",'Mapa final'!$S$39),"")</f>
        <v/>
      </c>
      <c r="AH51" s="41" t="str">
        <f ca="1">IF(AND('Mapa final'!$AG$34="Muy Baja",'Mapa final'!$AI$34="Catastrófico"),CONCATENATE("R6C",'Mapa final'!$S$34),"")</f>
        <v/>
      </c>
      <c r="AI51" s="42" t="str">
        <f ca="1">IF(AND('Mapa final'!$AG$35="Muy Baja",'Mapa final'!$AI$35="Catastrófico"),CONCATENATE("R6C",'Mapa final'!$S$35),"")</f>
        <v/>
      </c>
      <c r="AJ51" s="42" t="str">
        <f ca="1">IF(AND('Mapa final'!$AG$36="Muy Baja",'Mapa final'!$AI$36="Catastrófico"),CONCATENATE("R6C",'Mapa final'!$S$36),"")</f>
        <v/>
      </c>
      <c r="AK51" s="42" t="str">
        <f ca="1">IF(AND('Mapa final'!$AG$37="Muy Baja",'Mapa final'!$AI$37="Catastrófico"),CONCATENATE("R6C",'Mapa final'!$S$37),"")</f>
        <v/>
      </c>
      <c r="AL51" s="42" t="str">
        <f>IF(AND('Mapa final'!$AG$38="Muy Baja",'Mapa final'!$AI$38="Catastrófico"),CONCATENATE("R6C",'Mapa final'!$S$38),"")</f>
        <v/>
      </c>
      <c r="AM51" s="43" t="str">
        <f>IF(AND('Mapa final'!$AG$39="Muy Baja",'Mapa final'!$AI$39="Catastrófico"),CONCATENATE("R6C",'Mapa final'!$S$39),"")</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183"/>
      <c r="C52" s="183"/>
      <c r="D52" s="184"/>
      <c r="E52" s="284"/>
      <c r="F52" s="285"/>
      <c r="G52" s="285"/>
      <c r="H52" s="285"/>
      <c r="I52" s="300"/>
      <c r="J52" s="63" t="str">
        <f ca="1">IF(AND('Mapa final'!$AG$40="Muy Baja",'Mapa final'!$AI$40="Leve"),CONCATENATE("R7C",'Mapa final'!$S$40),"")</f>
        <v/>
      </c>
      <c r="K52" s="64" t="str">
        <f ca="1">IF(AND('Mapa final'!$AG$41="Muy Baja",'Mapa final'!$AI$41="Leve"),CONCATENATE("R7C",'Mapa final'!$S$41),"")</f>
        <v/>
      </c>
      <c r="L52" s="64" t="str">
        <f>IF(AND('Mapa final'!$AG$42="Muy Baja",'Mapa final'!$AI$42="Leve"),CONCATENATE("R7C",'Mapa final'!$S$42),"")</f>
        <v/>
      </c>
      <c r="M52" s="64" t="str">
        <f>IF(AND('Mapa final'!$AG$43="Muy Baja",'Mapa final'!$AI$43="Leve"),CONCATENATE("R7C",'Mapa final'!$S$43),"")</f>
        <v/>
      </c>
      <c r="N52" s="64" t="str">
        <f>IF(AND('Mapa final'!$AG$44="Muy Baja",'Mapa final'!$AI$44="Leve"),CONCATENATE("R7C",'Mapa final'!$S$44),"")</f>
        <v/>
      </c>
      <c r="O52" s="65" t="str">
        <f>IF(AND('Mapa final'!$AG$45="Muy Baja",'Mapa final'!$AI$45="Leve"),CONCATENATE("R7C",'Mapa final'!$S$45),"")</f>
        <v/>
      </c>
      <c r="P52" s="63" t="str">
        <f ca="1">IF(AND('Mapa final'!$AG$40="Muy Baja",'Mapa final'!$AI$40="Menor"),CONCATENATE("R7C",'Mapa final'!$S$40),"")</f>
        <v>R7C1</v>
      </c>
      <c r="Q52" s="64" t="str">
        <f ca="1">IF(AND('Mapa final'!$AG$41="Muy Baja",'Mapa final'!$AI$41="Menor"),CONCATENATE("R7C",'Mapa final'!$S$41),"")</f>
        <v>R7C2</v>
      </c>
      <c r="R52" s="64" t="str">
        <f>IF(AND('Mapa final'!$AG$42="Muy Baja",'Mapa final'!$AI$42="Menor"),CONCATENATE("R7C",'Mapa final'!$S$42),"")</f>
        <v/>
      </c>
      <c r="S52" s="64" t="str">
        <f>IF(AND('Mapa final'!$AG$43="Muy Baja",'Mapa final'!$AI$43="Menor"),CONCATENATE("R7C",'Mapa final'!$S$43),"")</f>
        <v/>
      </c>
      <c r="T52" s="64" t="str">
        <f>IF(AND('Mapa final'!$AG$44="Muy Baja",'Mapa final'!$AI$44="Menor"),CONCATENATE("R7C",'Mapa final'!$S$44),"")</f>
        <v/>
      </c>
      <c r="U52" s="65" t="str">
        <f>IF(AND('Mapa final'!$AG$45="Muy Baja",'Mapa final'!$AI$45="Menor"),CONCATENATE("R7C",'Mapa final'!$S$45),"")</f>
        <v/>
      </c>
      <c r="V52" s="54" t="str">
        <f ca="1">IF(AND('Mapa final'!$AG$40="Muy Baja",'Mapa final'!$AI$40="Moderado"),CONCATENATE("R7C",'Mapa final'!$S$40),"")</f>
        <v/>
      </c>
      <c r="W52" s="55" t="str">
        <f ca="1">IF(AND('Mapa final'!$AG$41="Muy Baja",'Mapa final'!$AI$41="Moderado"),CONCATENATE("R7C",'Mapa final'!$S$41),"")</f>
        <v/>
      </c>
      <c r="X52" s="55" t="str">
        <f>IF(AND('Mapa final'!$AG$42="Muy Baja",'Mapa final'!$AI$42="Moderado"),CONCATENATE("R7C",'Mapa final'!$S$42),"")</f>
        <v/>
      </c>
      <c r="Y52" s="55" t="str">
        <f>IF(AND('Mapa final'!$AG$43="Muy Baja",'Mapa final'!$AI$43="Moderado"),CONCATENATE("R7C",'Mapa final'!$S$43),"")</f>
        <v/>
      </c>
      <c r="Z52" s="55" t="str">
        <f>IF(AND('Mapa final'!$AG$44="Muy Baja",'Mapa final'!$AI$44="Moderado"),CONCATENATE("R7C",'Mapa final'!$S$44),"")</f>
        <v/>
      </c>
      <c r="AA52" s="56" t="str">
        <f>IF(AND('Mapa final'!$AG$45="Muy Baja",'Mapa final'!$AI$45="Moderado"),CONCATENATE("R7C",'Mapa final'!$S$45),"")</f>
        <v/>
      </c>
      <c r="AB52" s="38" t="str">
        <f ca="1">IF(AND('Mapa final'!$AG$40="Muy Baja",'Mapa final'!$AI$40="Mayor"),CONCATENATE("R7C",'Mapa final'!$S$40),"")</f>
        <v/>
      </c>
      <c r="AC52" s="39" t="str">
        <f ca="1">IF(AND('Mapa final'!$AG$41="Muy Baja",'Mapa final'!$AI$41="Mayor"),CONCATENATE("R7C",'Mapa final'!$S$41),"")</f>
        <v/>
      </c>
      <c r="AD52" s="44" t="str">
        <f>IF(AND('Mapa final'!$AG$42="Muy Baja",'Mapa final'!$AI$42="Mayor"),CONCATENATE("R7C",'Mapa final'!$S$42),"")</f>
        <v/>
      </c>
      <c r="AE52" s="44" t="str">
        <f>IF(AND('Mapa final'!$AG$43="Muy Baja",'Mapa final'!$AI$43="Mayor"),CONCATENATE("R7C",'Mapa final'!$S$43),"")</f>
        <v/>
      </c>
      <c r="AF52" s="44" t="str">
        <f>IF(AND('Mapa final'!$AG$44="Muy Baja",'Mapa final'!$AI$44="Mayor"),CONCATENATE("R7C",'Mapa final'!$S$44),"")</f>
        <v/>
      </c>
      <c r="AG52" s="40" t="str">
        <f>IF(AND('Mapa final'!$AG$45="Muy Baja",'Mapa final'!$AI$45="Mayor"),CONCATENATE("R7C",'Mapa final'!$S$45),"")</f>
        <v/>
      </c>
      <c r="AH52" s="41" t="str">
        <f ca="1">IF(AND('Mapa final'!$AG$40="Muy Baja",'Mapa final'!$AI$40="Catastrófico"),CONCATENATE("R7C",'Mapa final'!$S$40),"")</f>
        <v/>
      </c>
      <c r="AI52" s="42" t="str">
        <f ca="1">IF(AND('Mapa final'!$AG$41="Muy Baja",'Mapa final'!$AI$41="Catastrófico"),CONCATENATE("R7C",'Mapa final'!$S$41),"")</f>
        <v/>
      </c>
      <c r="AJ52" s="42" t="str">
        <f>IF(AND('Mapa final'!$AG$42="Muy Baja",'Mapa final'!$AI$42="Catastrófico"),CONCATENATE("R7C",'Mapa final'!$S$42),"")</f>
        <v/>
      </c>
      <c r="AK52" s="42" t="str">
        <f>IF(AND('Mapa final'!$AG$43="Muy Baja",'Mapa final'!$AI$43="Catastrófico"),CONCATENATE("R7C",'Mapa final'!$S$43),"")</f>
        <v/>
      </c>
      <c r="AL52" s="42" t="str">
        <f>IF(AND('Mapa final'!$AG$44="Muy Baja",'Mapa final'!$AI$44="Catastrófico"),CONCATENATE("R7C",'Mapa final'!$S$44),"")</f>
        <v/>
      </c>
      <c r="AM52" s="43" t="str">
        <f>IF(AND('Mapa final'!$AG$45="Muy Baja",'Mapa final'!$AI$45="Catastrófico"),CONCATENATE("R7C",'Mapa final'!$S$45),"")</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183"/>
      <c r="C53" s="183"/>
      <c r="D53" s="184"/>
      <c r="E53" s="284"/>
      <c r="F53" s="285"/>
      <c r="G53" s="285"/>
      <c r="H53" s="285"/>
      <c r="I53" s="300"/>
      <c r="J53" s="63" t="str">
        <f ca="1">IF(AND('Mapa final'!$AG$46="Muy Baja",'Mapa final'!$AI$46="Leve"),CONCATENATE("R8C",'Mapa final'!$S$46),"")</f>
        <v/>
      </c>
      <c r="K53" s="64" t="str">
        <f ca="1">IF(AND('Mapa final'!$AG$47="Muy Baja",'Mapa final'!$AI$47="Leve"),CONCATENATE("R8C",'Mapa final'!$S$47),"")</f>
        <v/>
      </c>
      <c r="L53" s="64" t="str">
        <f ca="1">IF(AND('Mapa final'!$AG$48="Muy Baja",'Mapa final'!$AI$48="Leve"),CONCATENATE("R8C",'Mapa final'!$S$48),"")</f>
        <v/>
      </c>
      <c r="M53" s="64" t="str">
        <f ca="1">IF(AND('Mapa final'!$AG$49="Muy Baja",'Mapa final'!$AI$49="Leve"),CONCATENATE("R8C",'Mapa final'!$S$49),"")</f>
        <v/>
      </c>
      <c r="N53" s="64" t="str">
        <f>IF(AND('Mapa final'!$AG$50="Muy Baja",'Mapa final'!$AI$50="Leve"),CONCATENATE("R8C",'Mapa final'!$S$50),"")</f>
        <v/>
      </c>
      <c r="O53" s="65" t="str">
        <f>IF(AND('Mapa final'!$AG$51="Muy Baja",'Mapa final'!$AI$51="Leve"),CONCATENATE("R8C",'Mapa final'!$S$51),"")</f>
        <v/>
      </c>
      <c r="P53" s="63" t="str">
        <f ca="1">IF(AND('Mapa final'!$AG$46="Muy Baja",'Mapa final'!$AI$46="Menor"),CONCATENATE("R8C",'Mapa final'!$S$46),"")</f>
        <v/>
      </c>
      <c r="Q53" s="64" t="str">
        <f ca="1">IF(AND('Mapa final'!$AG$47="Muy Baja",'Mapa final'!$AI$47="Menor"),CONCATENATE("R8C",'Mapa final'!$S$47),"")</f>
        <v/>
      </c>
      <c r="R53" s="64" t="str">
        <f ca="1">IF(AND('Mapa final'!$AG$48="Muy Baja",'Mapa final'!$AI$48="Menor"),CONCATENATE("R8C",'Mapa final'!$S$48),"")</f>
        <v>R8C3</v>
      </c>
      <c r="S53" s="64" t="str">
        <f ca="1">IF(AND('Mapa final'!$AG$49="Muy Baja",'Mapa final'!$AI$49="Menor"),CONCATENATE("R8C",'Mapa final'!$S$49),"")</f>
        <v>R8C4</v>
      </c>
      <c r="T53" s="64" t="str">
        <f>IF(AND('Mapa final'!$AG$50="Muy Baja",'Mapa final'!$AI$50="Menor"),CONCATENATE("R8C",'Mapa final'!$S$50),"")</f>
        <v/>
      </c>
      <c r="U53" s="65" t="str">
        <f>IF(AND('Mapa final'!$AG$51="Muy Baja",'Mapa final'!$AI$51="Menor"),CONCATENATE("R8C",'Mapa final'!$S$51),"")</f>
        <v/>
      </c>
      <c r="V53" s="54" t="str">
        <f ca="1">IF(AND('Mapa final'!$AG$46="Muy Baja",'Mapa final'!$AI$46="Moderado"),CONCATENATE("R8C",'Mapa final'!$S$46),"")</f>
        <v/>
      </c>
      <c r="W53" s="55" t="str">
        <f ca="1">IF(AND('Mapa final'!$AG$47="Muy Baja",'Mapa final'!$AI$47="Moderado"),CONCATENATE("R8C",'Mapa final'!$S$47),"")</f>
        <v/>
      </c>
      <c r="X53" s="55" t="str">
        <f ca="1">IF(AND('Mapa final'!$AG$48="Muy Baja",'Mapa final'!$AI$48="Moderado"),CONCATENATE("R8C",'Mapa final'!$S$48),"")</f>
        <v/>
      </c>
      <c r="Y53" s="55" t="str">
        <f ca="1">IF(AND('Mapa final'!$AG$49="Muy Baja",'Mapa final'!$AI$49="Moderado"),CONCATENATE("R8C",'Mapa final'!$S$49),"")</f>
        <v/>
      </c>
      <c r="Z53" s="55" t="str">
        <f>IF(AND('Mapa final'!$AG$50="Muy Baja",'Mapa final'!$AI$50="Moderado"),CONCATENATE("R8C",'Mapa final'!$S$50),"")</f>
        <v/>
      </c>
      <c r="AA53" s="56" t="str">
        <f>IF(AND('Mapa final'!$AG$51="Muy Baja",'Mapa final'!$AI$51="Moderado"),CONCATENATE("R8C",'Mapa final'!$S$51),"")</f>
        <v/>
      </c>
      <c r="AB53" s="38" t="str">
        <f ca="1">IF(AND('Mapa final'!$AG$46="Muy Baja",'Mapa final'!$AI$46="Mayor"),CONCATENATE("R8C",'Mapa final'!$S$46),"")</f>
        <v/>
      </c>
      <c r="AC53" s="39" t="str">
        <f ca="1">IF(AND('Mapa final'!$AG$47="Muy Baja",'Mapa final'!$AI$47="Mayor"),CONCATENATE("R8C",'Mapa final'!$S$47),"")</f>
        <v/>
      </c>
      <c r="AD53" s="44" t="str">
        <f ca="1">IF(AND('Mapa final'!$AG$48="Muy Baja",'Mapa final'!$AI$48="Mayor"),CONCATENATE("R8C",'Mapa final'!$S$48),"")</f>
        <v/>
      </c>
      <c r="AE53" s="44" t="str">
        <f ca="1">IF(AND('Mapa final'!$AG$49="Muy Baja",'Mapa final'!$AI$49="Mayor"),CONCATENATE("R8C",'Mapa final'!$S$49),"")</f>
        <v/>
      </c>
      <c r="AF53" s="44" t="str">
        <f>IF(AND('Mapa final'!$AG$50="Muy Baja",'Mapa final'!$AI$50="Mayor"),CONCATENATE("R8C",'Mapa final'!$S$50),"")</f>
        <v/>
      </c>
      <c r="AG53" s="40" t="str">
        <f>IF(AND('Mapa final'!$AG$51="Muy Baja",'Mapa final'!$AI$51="Mayor"),CONCATENATE("R8C",'Mapa final'!$S$51),"")</f>
        <v/>
      </c>
      <c r="AH53" s="41" t="str">
        <f ca="1">IF(AND('Mapa final'!$AG$46="Muy Baja",'Mapa final'!$AI$46="Catastrófico"),CONCATENATE("R8C",'Mapa final'!$S$46),"")</f>
        <v/>
      </c>
      <c r="AI53" s="42" t="str">
        <f ca="1">IF(AND('Mapa final'!$AG$47="Muy Baja",'Mapa final'!$AI$47="Catastrófico"),CONCATENATE("R8C",'Mapa final'!$S$47),"")</f>
        <v/>
      </c>
      <c r="AJ53" s="42" t="str">
        <f ca="1">IF(AND('Mapa final'!$AG$48="Muy Baja",'Mapa final'!$AI$48="Catastrófico"),CONCATENATE("R8C",'Mapa final'!$S$48),"")</f>
        <v/>
      </c>
      <c r="AK53" s="42" t="str">
        <f ca="1">IF(AND('Mapa final'!$AG$49="Muy Baja",'Mapa final'!$AI$49="Catastrófico"),CONCATENATE("R8C",'Mapa final'!$S$49),"")</f>
        <v/>
      </c>
      <c r="AL53" s="42" t="str">
        <f>IF(AND('Mapa final'!$AG$50="Muy Baja",'Mapa final'!$AI$50="Catastrófico"),CONCATENATE("R8C",'Mapa final'!$S$50),"")</f>
        <v/>
      </c>
      <c r="AM53" s="43" t="str">
        <f>IF(AND('Mapa final'!$AG$51="Muy Baja",'Mapa final'!$AI$51="Catastrófico"),CONCATENATE("R8C",'Mapa final'!$S$51),"")</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183"/>
      <c r="C54" s="183"/>
      <c r="D54" s="184"/>
      <c r="E54" s="284"/>
      <c r="F54" s="285"/>
      <c r="G54" s="285"/>
      <c r="H54" s="285"/>
      <c r="I54" s="300"/>
      <c r="J54" s="63" t="str">
        <f ca="1">IF(AND('Mapa final'!$AG$52="Muy Baja",'Mapa final'!$AI$52="Leve"),CONCATENATE("R9C",'Mapa final'!$S$52),"")</f>
        <v/>
      </c>
      <c r="K54" s="64" t="str">
        <f ca="1">IF(AND('Mapa final'!$AG$53="Muy Baja",'Mapa final'!$AI$53="Leve"),CONCATENATE("R9C",'Mapa final'!$S$53),"")</f>
        <v/>
      </c>
      <c r="L54" s="64" t="str">
        <f ca="1">IF(AND('Mapa final'!$AG$54="Muy Baja",'Mapa final'!$AI$54="Leve"),CONCATENATE("R9C",'Mapa final'!$S$54),"")</f>
        <v/>
      </c>
      <c r="M54" s="64" t="str">
        <f ca="1">IF(AND('Mapa final'!$AG$55="Muy Baja",'Mapa final'!$AI$55="Leve"),CONCATENATE("R9C",'Mapa final'!$S$55),"")</f>
        <v/>
      </c>
      <c r="N54" s="64" t="str">
        <f>IF(AND('Mapa final'!$AG$56="Muy Baja",'Mapa final'!$AI$56="Leve"),CONCATENATE("R9C",'Mapa final'!$S$56),"")</f>
        <v/>
      </c>
      <c r="O54" s="65" t="str">
        <f>IF(AND('Mapa final'!$AG$57="Muy Baja",'Mapa final'!$AI$57="Leve"),CONCATENATE("R9C",'Mapa final'!$S$57),"")</f>
        <v/>
      </c>
      <c r="P54" s="63" t="str">
        <f ca="1">IF(AND('Mapa final'!$AG$52="Muy Baja",'Mapa final'!$AI$52="Menor"),CONCATENATE("R9C",'Mapa final'!$S$52),"")</f>
        <v/>
      </c>
      <c r="Q54" s="64" t="str">
        <f ca="1">IF(AND('Mapa final'!$AG$53="Muy Baja",'Mapa final'!$AI$53="Menor"),CONCATENATE("R9C",'Mapa final'!$S$53),"")</f>
        <v/>
      </c>
      <c r="R54" s="64" t="str">
        <f ca="1">IF(AND('Mapa final'!$AG$54="Muy Baja",'Mapa final'!$AI$54="Menor"),CONCATENATE("R9C",'Mapa final'!$S$54),"")</f>
        <v/>
      </c>
      <c r="S54" s="64" t="str">
        <f ca="1">IF(AND('Mapa final'!$AG$55="Muy Baja",'Mapa final'!$AI$55="Menor"),CONCATENATE("R9C",'Mapa final'!$S$55),"")</f>
        <v/>
      </c>
      <c r="T54" s="64" t="str">
        <f>IF(AND('Mapa final'!$AG$56="Muy Baja",'Mapa final'!$AI$56="Menor"),CONCATENATE("R9C",'Mapa final'!$S$56),"")</f>
        <v/>
      </c>
      <c r="U54" s="65" t="str">
        <f>IF(AND('Mapa final'!$AG$57="Muy Baja",'Mapa final'!$AI$57="Menor"),CONCATENATE("R9C",'Mapa final'!$S$57),"")</f>
        <v/>
      </c>
      <c r="V54" s="54" t="str">
        <f ca="1">IF(AND('Mapa final'!$AG$52="Muy Baja",'Mapa final'!$AI$52="Moderado"),CONCATENATE("R9C",'Mapa final'!$S$52),"")</f>
        <v>R9C1</v>
      </c>
      <c r="W54" s="55" t="str">
        <f ca="1">IF(AND('Mapa final'!$AG$53="Muy Baja",'Mapa final'!$AI$53="Moderado"),CONCATENATE("R9C",'Mapa final'!$S$53),"")</f>
        <v>R9C2</v>
      </c>
      <c r="X54" s="55" t="str">
        <f ca="1">IF(AND('Mapa final'!$AG$54="Muy Baja",'Mapa final'!$AI$54="Moderado"),CONCATENATE("R9C",'Mapa final'!$S$54),"")</f>
        <v>R9C3</v>
      </c>
      <c r="Y54" s="55" t="str">
        <f ca="1">IF(AND('Mapa final'!$AG$55="Muy Baja",'Mapa final'!$AI$55="Moderado"),CONCATENATE("R9C",'Mapa final'!$S$55),"")</f>
        <v>R9C4</v>
      </c>
      <c r="Z54" s="55" t="str">
        <f>IF(AND('Mapa final'!$AG$56="Muy Baja",'Mapa final'!$AI$56="Moderado"),CONCATENATE("R9C",'Mapa final'!$S$56),"")</f>
        <v/>
      </c>
      <c r="AA54" s="56" t="str">
        <f>IF(AND('Mapa final'!$AG$57="Muy Baja",'Mapa final'!$AI$57="Moderado"),CONCATENATE("R9C",'Mapa final'!$S$57),"")</f>
        <v/>
      </c>
      <c r="AB54" s="38" t="str">
        <f ca="1">IF(AND('Mapa final'!$AG$52="Muy Baja",'Mapa final'!$AI$52="Mayor"),CONCATENATE("R9C",'Mapa final'!$S$52),"")</f>
        <v/>
      </c>
      <c r="AC54" s="39" t="str">
        <f ca="1">IF(AND('Mapa final'!$AG$53="Muy Baja",'Mapa final'!$AI$53="Mayor"),CONCATENATE("R9C",'Mapa final'!$S$53),"")</f>
        <v/>
      </c>
      <c r="AD54" s="44" t="str">
        <f ca="1">IF(AND('Mapa final'!$AG$54="Muy Baja",'Mapa final'!$AI$54="Mayor"),CONCATENATE("R9C",'Mapa final'!$S$54),"")</f>
        <v/>
      </c>
      <c r="AE54" s="44" t="str">
        <f ca="1">IF(AND('Mapa final'!$AG$55="Muy Baja",'Mapa final'!$AI$55="Mayor"),CONCATENATE("R9C",'Mapa final'!$S$55),"")</f>
        <v/>
      </c>
      <c r="AF54" s="44" t="str">
        <f>IF(AND('Mapa final'!$AG$56="Muy Baja",'Mapa final'!$AI$56="Mayor"),CONCATENATE("R9C",'Mapa final'!$S$56),"")</f>
        <v/>
      </c>
      <c r="AG54" s="40" t="str">
        <f>IF(AND('Mapa final'!$AG$57="Muy Baja",'Mapa final'!$AI$57="Mayor"),CONCATENATE("R9C",'Mapa final'!$S$57),"")</f>
        <v/>
      </c>
      <c r="AH54" s="41" t="str">
        <f ca="1">IF(AND('Mapa final'!$AG$52="Muy Baja",'Mapa final'!$AI$52="Catastrófico"),CONCATENATE("R9C",'Mapa final'!$S$52),"")</f>
        <v/>
      </c>
      <c r="AI54" s="42" t="str">
        <f ca="1">IF(AND('Mapa final'!$AG$53="Muy Baja",'Mapa final'!$AI$53="Catastrófico"),CONCATENATE("R9C",'Mapa final'!$S$53),"")</f>
        <v/>
      </c>
      <c r="AJ54" s="42" t="str">
        <f ca="1">IF(AND('Mapa final'!$AG$54="Muy Baja",'Mapa final'!$AI$54="Catastrófico"),CONCATENATE("R9C",'Mapa final'!$S$54),"")</f>
        <v/>
      </c>
      <c r="AK54" s="42" t="str">
        <f ca="1">IF(AND('Mapa final'!$AG$55="Muy Baja",'Mapa final'!$AI$55="Catastrófico"),CONCATENATE("R9C",'Mapa final'!$S$55),"")</f>
        <v/>
      </c>
      <c r="AL54" s="42" t="str">
        <f>IF(AND('Mapa final'!$AG$56="Muy Baja",'Mapa final'!$AI$56="Catastrófico"),CONCATENATE("R9C",'Mapa final'!$S$56),"")</f>
        <v/>
      </c>
      <c r="AM54" s="43" t="str">
        <f>IF(AND('Mapa final'!$AG$57="Muy Baja",'Mapa final'!$AI$57="Catastrófico"),CONCATENATE("R9C",'Mapa final'!$S$57),"")</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183"/>
      <c r="C55" s="183"/>
      <c r="D55" s="184"/>
      <c r="E55" s="286"/>
      <c r="F55" s="287"/>
      <c r="G55" s="287"/>
      <c r="H55" s="287"/>
      <c r="I55" s="301"/>
      <c r="J55" s="66" t="e">
        <f>IF(AND('Mapa final'!#REF!="Muy Baja",'Mapa final'!#REF!="Leve"),CONCATENATE("R10C",'Mapa final'!#REF!),"")</f>
        <v>#REF!</v>
      </c>
      <c r="K55" s="67" t="e">
        <f>IF(AND('Mapa final'!#REF!="Muy Baja",'Mapa final'!#REF!="Leve"),CONCATENATE("R10C",'Mapa final'!#REF!),"")</f>
        <v>#REF!</v>
      </c>
      <c r="L55" s="67" t="e">
        <f>IF(AND('Mapa final'!#REF!="Muy Baja",'Mapa final'!#REF!="Leve"),CONCATENATE("R10C",'Mapa final'!#REF!),"")</f>
        <v>#REF!</v>
      </c>
      <c r="M55" s="67" t="e">
        <f>IF(AND('Mapa final'!#REF!="Muy Baja",'Mapa final'!#REF!="Leve"),CONCATENATE("R10C",'Mapa final'!#REF!),"")</f>
        <v>#REF!</v>
      </c>
      <c r="N55" s="67" t="e">
        <f>IF(AND('Mapa final'!#REF!="Muy Baja",'Mapa final'!#REF!="Leve"),CONCATENATE("R10C",'Mapa final'!#REF!),"")</f>
        <v>#REF!</v>
      </c>
      <c r="O55" s="68" t="e">
        <f>IF(AND('Mapa final'!#REF!="Muy Baja",'Mapa final'!#REF!="Leve"),CONCATENATE("R10C",'Mapa final'!#REF!),"")</f>
        <v>#REF!</v>
      </c>
      <c r="P55" s="66" t="e">
        <f>IF(AND('Mapa final'!#REF!="Muy Baja",'Mapa final'!#REF!="Menor"),CONCATENATE("R10C",'Mapa final'!#REF!),"")</f>
        <v>#REF!</v>
      </c>
      <c r="Q55" s="67" t="e">
        <f>IF(AND('Mapa final'!#REF!="Muy Baja",'Mapa final'!#REF!="Menor"),CONCATENATE("R10C",'Mapa final'!#REF!),"")</f>
        <v>#REF!</v>
      </c>
      <c r="R55" s="67" t="e">
        <f>IF(AND('Mapa final'!#REF!="Muy Baja",'Mapa final'!#REF!="Menor"),CONCATENATE("R10C",'Mapa final'!#REF!),"")</f>
        <v>#REF!</v>
      </c>
      <c r="S55" s="67" t="e">
        <f>IF(AND('Mapa final'!#REF!="Muy Baja",'Mapa final'!#REF!="Menor"),CONCATENATE("R10C",'Mapa final'!#REF!),"")</f>
        <v>#REF!</v>
      </c>
      <c r="T55" s="67" t="e">
        <f>IF(AND('Mapa final'!#REF!="Muy Baja",'Mapa final'!#REF!="Menor"),CONCATENATE("R10C",'Mapa final'!#REF!),"")</f>
        <v>#REF!</v>
      </c>
      <c r="U55" s="68" t="e">
        <f>IF(AND('Mapa final'!#REF!="Muy Baja",'Mapa final'!#REF!="Menor"),CONCATENATE("R10C",'Mapa final'!#REF!),"")</f>
        <v>#REF!</v>
      </c>
      <c r="V55" s="57" t="e">
        <f>IF(AND('Mapa final'!#REF!="Muy Baja",'Mapa final'!#REF!="Moderado"),CONCATENATE("R10C",'Mapa final'!#REF!),"")</f>
        <v>#REF!</v>
      </c>
      <c r="W55" s="58" t="e">
        <f>IF(AND('Mapa final'!#REF!="Muy Baja",'Mapa final'!#REF!="Moderado"),CONCATENATE("R10C",'Mapa final'!#REF!),"")</f>
        <v>#REF!</v>
      </c>
      <c r="X55" s="58" t="e">
        <f>IF(AND('Mapa final'!#REF!="Muy Baja",'Mapa final'!#REF!="Moderado"),CONCATENATE("R10C",'Mapa final'!#REF!),"")</f>
        <v>#REF!</v>
      </c>
      <c r="Y55" s="58" t="e">
        <f>IF(AND('Mapa final'!#REF!="Muy Baja",'Mapa final'!#REF!="Moderado"),CONCATENATE("R10C",'Mapa final'!#REF!),"")</f>
        <v>#REF!</v>
      </c>
      <c r="Z55" s="58" t="e">
        <f>IF(AND('Mapa final'!#REF!="Muy Baja",'Mapa final'!#REF!="Moderado"),CONCATENATE("R10C",'Mapa final'!#REF!),"")</f>
        <v>#REF!</v>
      </c>
      <c r="AA55" s="59" t="e">
        <f>IF(AND('Mapa final'!#REF!="Muy Baja",'Mapa final'!#REF!="Moderado"),CONCATENATE("R10C",'Mapa final'!#REF!),"")</f>
        <v>#REF!</v>
      </c>
      <c r="AB55" s="45" t="e">
        <f>IF(AND('Mapa final'!#REF!="Muy Baja",'Mapa final'!#REF!="Mayor"),CONCATENATE("R10C",'Mapa final'!#REF!),"")</f>
        <v>#REF!</v>
      </c>
      <c r="AC55" s="46" t="e">
        <f>IF(AND('Mapa final'!#REF!="Muy Baja",'Mapa final'!#REF!="Mayor"),CONCATENATE("R10C",'Mapa final'!#REF!),"")</f>
        <v>#REF!</v>
      </c>
      <c r="AD55" s="46" t="e">
        <f>IF(AND('Mapa final'!#REF!="Muy Baja",'Mapa final'!#REF!="Mayor"),CONCATENATE("R10C",'Mapa final'!#REF!),"")</f>
        <v>#REF!</v>
      </c>
      <c r="AE55" s="46" t="e">
        <f>IF(AND('Mapa final'!#REF!="Muy Baja",'Mapa final'!#REF!="Mayor"),CONCATENATE("R10C",'Mapa final'!#REF!),"")</f>
        <v>#REF!</v>
      </c>
      <c r="AF55" s="46" t="e">
        <f>IF(AND('Mapa final'!#REF!="Muy Baja",'Mapa final'!#REF!="Mayor"),CONCATENATE("R10C",'Mapa final'!#REF!),"")</f>
        <v>#REF!</v>
      </c>
      <c r="AG55" s="47" t="e">
        <f>IF(AND('Mapa final'!#REF!="Muy Baja",'Mapa final'!#REF!="Mayor"),CONCATENATE("R10C",'Mapa final'!#REF!),"")</f>
        <v>#REF!</v>
      </c>
      <c r="AH55" s="48" t="e">
        <f>IF(AND('Mapa final'!#REF!="Muy Baja",'Mapa final'!#REF!="Catastrófico"),CONCATENATE("R10C",'Mapa final'!#REF!),"")</f>
        <v>#REF!</v>
      </c>
      <c r="AI55" s="49" t="e">
        <f>IF(AND('Mapa final'!#REF!="Muy Baja",'Mapa final'!#REF!="Catastrófico"),CONCATENATE("R10C",'Mapa final'!#REF!),"")</f>
        <v>#REF!</v>
      </c>
      <c r="AJ55" s="49" t="e">
        <f>IF(AND('Mapa final'!#REF!="Muy Baja",'Mapa final'!#REF!="Catastrófico"),CONCATENATE("R10C",'Mapa final'!#REF!),"")</f>
        <v>#REF!</v>
      </c>
      <c r="AK55" s="49" t="e">
        <f>IF(AND('Mapa final'!#REF!="Muy Baja",'Mapa final'!#REF!="Catastrófico"),CONCATENATE("R10C",'Mapa final'!#REF!),"")</f>
        <v>#REF!</v>
      </c>
      <c r="AL55" s="49" t="e">
        <f>IF(AND('Mapa final'!#REF!="Muy Baja",'Mapa final'!#REF!="Catastrófico"),CONCATENATE("R10C",'Mapa final'!#REF!),"")</f>
        <v>#REF!</v>
      </c>
      <c r="AM55" s="50" t="e">
        <f>IF(AND('Mapa final'!#REF!="Muy Baja",'Mapa final'!#REF!="Catastrófico"),CONCATENATE("R10C",'Mapa final'!#REF!),"")</f>
        <v>#REF!</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280" t="s">
        <v>110</v>
      </c>
      <c r="K56" s="281"/>
      <c r="L56" s="281"/>
      <c r="M56" s="281"/>
      <c r="N56" s="281"/>
      <c r="O56" s="299"/>
      <c r="P56" s="280" t="s">
        <v>109</v>
      </c>
      <c r="Q56" s="281"/>
      <c r="R56" s="281"/>
      <c r="S56" s="281"/>
      <c r="T56" s="281"/>
      <c r="U56" s="299"/>
      <c r="V56" s="280" t="s">
        <v>108</v>
      </c>
      <c r="W56" s="281"/>
      <c r="X56" s="281"/>
      <c r="Y56" s="281"/>
      <c r="Z56" s="281"/>
      <c r="AA56" s="299"/>
      <c r="AB56" s="280" t="s">
        <v>107</v>
      </c>
      <c r="AC56" s="320"/>
      <c r="AD56" s="281"/>
      <c r="AE56" s="281"/>
      <c r="AF56" s="281"/>
      <c r="AG56" s="299"/>
      <c r="AH56" s="280" t="s">
        <v>106</v>
      </c>
      <c r="AI56" s="281"/>
      <c r="AJ56" s="281"/>
      <c r="AK56" s="281"/>
      <c r="AL56" s="281"/>
      <c r="AM56" s="299"/>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284"/>
      <c r="K57" s="285"/>
      <c r="L57" s="285"/>
      <c r="M57" s="285"/>
      <c r="N57" s="285"/>
      <c r="O57" s="300"/>
      <c r="P57" s="284"/>
      <c r="Q57" s="285"/>
      <c r="R57" s="285"/>
      <c r="S57" s="285"/>
      <c r="T57" s="285"/>
      <c r="U57" s="300"/>
      <c r="V57" s="284"/>
      <c r="W57" s="285"/>
      <c r="X57" s="285"/>
      <c r="Y57" s="285"/>
      <c r="Z57" s="285"/>
      <c r="AA57" s="300"/>
      <c r="AB57" s="284"/>
      <c r="AC57" s="285"/>
      <c r="AD57" s="285"/>
      <c r="AE57" s="285"/>
      <c r="AF57" s="285"/>
      <c r="AG57" s="300"/>
      <c r="AH57" s="284"/>
      <c r="AI57" s="285"/>
      <c r="AJ57" s="285"/>
      <c r="AK57" s="285"/>
      <c r="AL57" s="285"/>
      <c r="AM57" s="30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284"/>
      <c r="K58" s="285"/>
      <c r="L58" s="285"/>
      <c r="M58" s="285"/>
      <c r="N58" s="285"/>
      <c r="O58" s="300"/>
      <c r="P58" s="284"/>
      <c r="Q58" s="285"/>
      <c r="R58" s="285"/>
      <c r="S58" s="285"/>
      <c r="T58" s="285"/>
      <c r="U58" s="300"/>
      <c r="V58" s="284"/>
      <c r="W58" s="285"/>
      <c r="X58" s="285"/>
      <c r="Y58" s="285"/>
      <c r="Z58" s="285"/>
      <c r="AA58" s="300"/>
      <c r="AB58" s="284"/>
      <c r="AC58" s="285"/>
      <c r="AD58" s="285"/>
      <c r="AE58" s="285"/>
      <c r="AF58" s="285"/>
      <c r="AG58" s="300"/>
      <c r="AH58" s="284"/>
      <c r="AI58" s="285"/>
      <c r="AJ58" s="285"/>
      <c r="AK58" s="285"/>
      <c r="AL58" s="285"/>
      <c r="AM58" s="30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284"/>
      <c r="K59" s="285"/>
      <c r="L59" s="285"/>
      <c r="M59" s="285"/>
      <c r="N59" s="285"/>
      <c r="O59" s="300"/>
      <c r="P59" s="284"/>
      <c r="Q59" s="285"/>
      <c r="R59" s="285"/>
      <c r="S59" s="285"/>
      <c r="T59" s="285"/>
      <c r="U59" s="300"/>
      <c r="V59" s="284"/>
      <c r="W59" s="285"/>
      <c r="X59" s="285"/>
      <c r="Y59" s="285"/>
      <c r="Z59" s="285"/>
      <c r="AA59" s="300"/>
      <c r="AB59" s="284"/>
      <c r="AC59" s="285"/>
      <c r="AD59" s="285"/>
      <c r="AE59" s="285"/>
      <c r="AF59" s="285"/>
      <c r="AG59" s="300"/>
      <c r="AH59" s="284"/>
      <c r="AI59" s="285"/>
      <c r="AJ59" s="285"/>
      <c r="AK59" s="285"/>
      <c r="AL59" s="285"/>
      <c r="AM59" s="30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284"/>
      <c r="K60" s="285"/>
      <c r="L60" s="285"/>
      <c r="M60" s="285"/>
      <c r="N60" s="285"/>
      <c r="O60" s="300"/>
      <c r="P60" s="284"/>
      <c r="Q60" s="285"/>
      <c r="R60" s="285"/>
      <c r="S60" s="285"/>
      <c r="T60" s="285"/>
      <c r="U60" s="300"/>
      <c r="V60" s="284"/>
      <c r="W60" s="285"/>
      <c r="X60" s="285"/>
      <c r="Y60" s="285"/>
      <c r="Z60" s="285"/>
      <c r="AA60" s="300"/>
      <c r="AB60" s="284"/>
      <c r="AC60" s="285"/>
      <c r="AD60" s="285"/>
      <c r="AE60" s="285"/>
      <c r="AF60" s="285"/>
      <c r="AG60" s="300"/>
      <c r="AH60" s="284"/>
      <c r="AI60" s="285"/>
      <c r="AJ60" s="285"/>
      <c r="AK60" s="285"/>
      <c r="AL60" s="285"/>
      <c r="AM60" s="30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286"/>
      <c r="K61" s="287"/>
      <c r="L61" s="287"/>
      <c r="M61" s="287"/>
      <c r="N61" s="287"/>
      <c r="O61" s="301"/>
      <c r="P61" s="286"/>
      <c r="Q61" s="287"/>
      <c r="R61" s="287"/>
      <c r="S61" s="287"/>
      <c r="T61" s="287"/>
      <c r="U61" s="301"/>
      <c r="V61" s="286"/>
      <c r="W61" s="287"/>
      <c r="X61" s="287"/>
      <c r="Y61" s="287"/>
      <c r="Z61" s="287"/>
      <c r="AA61" s="301"/>
      <c r="AB61" s="286"/>
      <c r="AC61" s="287"/>
      <c r="AD61" s="287"/>
      <c r="AE61" s="287"/>
      <c r="AF61" s="287"/>
      <c r="AG61" s="301"/>
      <c r="AH61" s="286"/>
      <c r="AI61" s="287"/>
      <c r="AJ61" s="287"/>
      <c r="AK61" s="287"/>
      <c r="AL61" s="287"/>
      <c r="AM61" s="301"/>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AK55"/>
  <sheetViews>
    <sheetView zoomScale="90" zoomScaleNormal="90" workbookViewId="0">
      <selection activeCell="B4" sqref="B4:D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0"/>
      <c r="B1" s="321" t="s">
        <v>53</v>
      </c>
      <c r="C1" s="321"/>
      <c r="D1" s="321"/>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3"/>
      <c r="C3" s="4" t="s">
        <v>50</v>
      </c>
      <c r="D3" s="4" t="s">
        <v>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5" t="s">
        <v>49</v>
      </c>
      <c r="C4" s="6" t="s">
        <v>100</v>
      </c>
      <c r="D4" s="7">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8" t="s">
        <v>51</v>
      </c>
      <c r="C5" s="9" t="s">
        <v>101</v>
      </c>
      <c r="D5" s="10">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1" t="s">
        <v>105</v>
      </c>
      <c r="C6" s="9" t="s">
        <v>102</v>
      </c>
      <c r="D6" s="10">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2" t="s">
        <v>6</v>
      </c>
      <c r="C7" s="9" t="s">
        <v>103</v>
      </c>
      <c r="D7" s="10">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3" t="s">
        <v>52</v>
      </c>
      <c r="C8" s="9" t="s">
        <v>104</v>
      </c>
      <c r="D8" s="10">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86"/>
      <c r="C9" s="86"/>
      <c r="D9" s="86"/>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87"/>
      <c r="C10" s="86"/>
      <c r="D10" s="86"/>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86"/>
      <c r="C11" s="86"/>
      <c r="D11" s="86"/>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86"/>
      <c r="C12" s="86"/>
      <c r="D12" s="86"/>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86"/>
      <c r="C13" s="86"/>
      <c r="D13" s="86"/>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86"/>
      <c r="C14" s="86"/>
      <c r="D14" s="86"/>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86"/>
      <c r="C15" s="86"/>
      <c r="D15" s="86"/>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86"/>
      <c r="C16" s="86"/>
      <c r="D16" s="86"/>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86"/>
      <c r="C17" s="86"/>
      <c r="D17" s="86"/>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86"/>
      <c r="C18" s="86"/>
      <c r="D18" s="86"/>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6" tint="-0.249977111117893"/>
  </sheetPr>
  <dimension ref="A1:U232"/>
  <sheetViews>
    <sheetView zoomScale="60" zoomScaleNormal="60" workbookViewId="0">
      <selection activeCell="C7" sqref="C7"/>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70"/>
      <c r="B1" s="322" t="s">
        <v>61</v>
      </c>
      <c r="C1" s="322"/>
      <c r="D1" s="322"/>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30" x14ac:dyDescent="0.25">
      <c r="A3" s="70"/>
      <c r="B3" s="83"/>
      <c r="C3" s="22" t="s">
        <v>54</v>
      </c>
      <c r="D3" s="22" t="s">
        <v>55</v>
      </c>
      <c r="E3" s="70"/>
      <c r="F3" s="70"/>
      <c r="G3" s="70"/>
      <c r="H3" s="70"/>
      <c r="I3" s="70"/>
      <c r="J3" s="70"/>
      <c r="K3" s="70"/>
      <c r="L3" s="70"/>
      <c r="M3" s="70"/>
      <c r="N3" s="70"/>
      <c r="O3" s="70"/>
      <c r="P3" s="70"/>
      <c r="Q3" s="70"/>
      <c r="R3" s="70"/>
      <c r="S3" s="70"/>
      <c r="T3" s="70"/>
      <c r="U3" s="70"/>
    </row>
    <row r="4" spans="1:21" ht="33.75" x14ac:dyDescent="0.25">
      <c r="A4" s="82" t="s">
        <v>81</v>
      </c>
      <c r="B4" s="25" t="s">
        <v>99</v>
      </c>
      <c r="C4" s="30" t="s">
        <v>152</v>
      </c>
      <c r="D4" s="23" t="s">
        <v>95</v>
      </c>
      <c r="E4" s="70"/>
      <c r="F4" s="70"/>
      <c r="G4" s="70"/>
      <c r="H4" s="70"/>
      <c r="I4" s="70"/>
      <c r="J4" s="70"/>
      <c r="K4" s="70"/>
      <c r="L4" s="70"/>
      <c r="M4" s="70"/>
      <c r="N4" s="70"/>
      <c r="O4" s="70"/>
      <c r="P4" s="70"/>
      <c r="Q4" s="70"/>
      <c r="R4" s="70"/>
      <c r="S4" s="70"/>
      <c r="T4" s="70"/>
      <c r="U4" s="70"/>
    </row>
    <row r="5" spans="1:21" ht="67.5" x14ac:dyDescent="0.25">
      <c r="A5" s="82" t="s">
        <v>82</v>
      </c>
      <c r="B5" s="26" t="s">
        <v>57</v>
      </c>
      <c r="C5" s="31" t="s">
        <v>91</v>
      </c>
      <c r="D5" s="24" t="s">
        <v>96</v>
      </c>
      <c r="E5" s="70"/>
      <c r="F5" s="70"/>
      <c r="G5" s="70"/>
      <c r="H5" s="70"/>
      <c r="I5" s="70"/>
      <c r="J5" s="70"/>
      <c r="K5" s="70"/>
      <c r="L5" s="70"/>
      <c r="M5" s="70"/>
      <c r="N5" s="70"/>
      <c r="O5" s="70"/>
      <c r="P5" s="70"/>
      <c r="Q5" s="70"/>
      <c r="R5" s="70"/>
      <c r="S5" s="70"/>
      <c r="T5" s="70"/>
      <c r="U5" s="70"/>
    </row>
    <row r="6" spans="1:21" ht="67.5" x14ac:dyDescent="0.25">
      <c r="A6" s="82" t="s">
        <v>79</v>
      </c>
      <c r="B6" s="27" t="s">
        <v>58</v>
      </c>
      <c r="C6" s="31" t="s">
        <v>92</v>
      </c>
      <c r="D6" s="24" t="s">
        <v>98</v>
      </c>
      <c r="E6" s="70"/>
      <c r="F6" s="70"/>
      <c r="G6" s="70"/>
      <c r="H6" s="70"/>
      <c r="I6" s="70"/>
      <c r="J6" s="70"/>
      <c r="K6" s="70"/>
      <c r="L6" s="70"/>
      <c r="M6" s="70"/>
      <c r="N6" s="70"/>
      <c r="O6" s="70"/>
      <c r="P6" s="70"/>
      <c r="Q6" s="70"/>
      <c r="R6" s="70"/>
      <c r="S6" s="70"/>
      <c r="T6" s="70"/>
      <c r="U6" s="70"/>
    </row>
    <row r="7" spans="1:21" ht="101.25" x14ac:dyDescent="0.25">
      <c r="A7" s="82" t="s">
        <v>7</v>
      </c>
      <c r="B7" s="28" t="s">
        <v>59</v>
      </c>
      <c r="C7" s="31" t="s">
        <v>93</v>
      </c>
      <c r="D7" s="24" t="s">
        <v>97</v>
      </c>
      <c r="E7" s="70"/>
      <c r="F7" s="70"/>
      <c r="G7" s="70"/>
      <c r="H7" s="70"/>
      <c r="I7" s="70"/>
      <c r="J7" s="70"/>
      <c r="K7" s="70"/>
      <c r="L7" s="70"/>
      <c r="M7" s="70"/>
      <c r="N7" s="70"/>
      <c r="O7" s="70"/>
      <c r="P7" s="70"/>
      <c r="Q7" s="70"/>
      <c r="R7" s="70"/>
      <c r="S7" s="70"/>
      <c r="T7" s="70"/>
      <c r="U7" s="70"/>
    </row>
    <row r="8" spans="1:21" ht="67.5" x14ac:dyDescent="0.25">
      <c r="A8" s="82" t="s">
        <v>83</v>
      </c>
      <c r="B8" s="29" t="s">
        <v>60</v>
      </c>
      <c r="C8" s="31" t="s">
        <v>94</v>
      </c>
      <c r="D8" s="24" t="s">
        <v>116</v>
      </c>
      <c r="E8" s="70"/>
      <c r="F8" s="70"/>
      <c r="G8" s="70"/>
      <c r="H8" s="70"/>
      <c r="I8" s="70"/>
      <c r="J8" s="70"/>
      <c r="K8" s="70"/>
      <c r="L8" s="70"/>
      <c r="M8" s="70"/>
      <c r="N8" s="70"/>
      <c r="O8" s="70"/>
      <c r="P8" s="70"/>
      <c r="Q8" s="70"/>
      <c r="R8" s="70"/>
      <c r="S8" s="70"/>
      <c r="T8" s="70"/>
      <c r="U8" s="70"/>
    </row>
    <row r="9" spans="1:21" ht="20.25" x14ac:dyDescent="0.25">
      <c r="A9" s="82"/>
      <c r="B9" s="82"/>
      <c r="C9" s="84"/>
      <c r="D9" s="84"/>
      <c r="E9" s="70"/>
      <c r="F9" s="70"/>
      <c r="G9" s="70"/>
      <c r="H9" s="70"/>
      <c r="I9" s="70"/>
      <c r="J9" s="70"/>
      <c r="K9" s="70"/>
      <c r="L9" s="70"/>
      <c r="M9" s="70"/>
      <c r="N9" s="70"/>
      <c r="O9" s="70"/>
      <c r="P9" s="70"/>
      <c r="Q9" s="70"/>
      <c r="R9" s="70"/>
      <c r="S9" s="70"/>
      <c r="T9" s="70"/>
      <c r="U9" s="70"/>
    </row>
    <row r="10" spans="1:21" ht="16.5" x14ac:dyDescent="0.25">
      <c r="A10" s="82"/>
      <c r="B10" s="85"/>
      <c r="C10" s="85"/>
      <c r="D10" s="85"/>
      <c r="E10" s="70"/>
      <c r="F10" s="70"/>
      <c r="G10" s="70"/>
      <c r="H10" s="70"/>
      <c r="I10" s="70"/>
      <c r="J10" s="70"/>
      <c r="K10" s="70"/>
      <c r="L10" s="70"/>
      <c r="M10" s="70"/>
      <c r="N10" s="70"/>
      <c r="O10" s="70"/>
      <c r="P10" s="70"/>
      <c r="Q10" s="70"/>
      <c r="R10" s="70"/>
      <c r="S10" s="70"/>
      <c r="T10" s="70"/>
      <c r="U10" s="70"/>
    </row>
    <row r="11" spans="1:21" x14ac:dyDescent="0.25">
      <c r="A11" s="82"/>
      <c r="B11" s="82" t="s">
        <v>89</v>
      </c>
      <c r="C11" s="82" t="s">
        <v>140</v>
      </c>
      <c r="D11" s="82" t="s">
        <v>147</v>
      </c>
      <c r="E11" s="70"/>
      <c r="F11" s="70"/>
      <c r="G11" s="70"/>
      <c r="H11" s="70"/>
      <c r="I11" s="70"/>
      <c r="J11" s="70"/>
      <c r="K11" s="70"/>
      <c r="L11" s="70"/>
      <c r="M11" s="70"/>
      <c r="N11" s="70"/>
      <c r="O11" s="70"/>
      <c r="P11" s="70"/>
      <c r="Q11" s="70"/>
      <c r="R11" s="70"/>
      <c r="S11" s="70"/>
      <c r="T11" s="70"/>
      <c r="U11" s="70"/>
    </row>
    <row r="12" spans="1:21" x14ac:dyDescent="0.25">
      <c r="A12" s="82"/>
      <c r="B12" s="82" t="s">
        <v>87</v>
      </c>
      <c r="C12" s="82" t="s">
        <v>144</v>
      </c>
      <c r="D12" s="82" t="s">
        <v>148</v>
      </c>
      <c r="E12" s="70"/>
      <c r="F12" s="70"/>
      <c r="G12" s="70"/>
      <c r="H12" s="70"/>
      <c r="I12" s="70"/>
      <c r="J12" s="70"/>
      <c r="K12" s="70"/>
      <c r="L12" s="70"/>
      <c r="M12" s="70"/>
      <c r="N12" s="70"/>
      <c r="O12" s="70"/>
      <c r="P12" s="70"/>
      <c r="Q12" s="70"/>
      <c r="R12" s="70"/>
      <c r="S12" s="70"/>
      <c r="T12" s="70"/>
      <c r="U12" s="70"/>
    </row>
    <row r="13" spans="1:21" x14ac:dyDescent="0.25">
      <c r="A13" s="82"/>
      <c r="B13" s="82"/>
      <c r="C13" s="82" t="s">
        <v>143</v>
      </c>
      <c r="D13" s="82" t="s">
        <v>149</v>
      </c>
      <c r="E13" s="70"/>
      <c r="F13" s="70"/>
      <c r="G13" s="70"/>
      <c r="H13" s="70"/>
      <c r="I13" s="70"/>
      <c r="J13" s="70"/>
      <c r="K13" s="70"/>
      <c r="L13" s="70"/>
      <c r="M13" s="70"/>
      <c r="N13" s="70"/>
      <c r="O13" s="70"/>
      <c r="P13" s="70"/>
      <c r="Q13" s="70"/>
      <c r="R13" s="70"/>
      <c r="S13" s="70"/>
      <c r="T13" s="70"/>
      <c r="U13" s="70"/>
    </row>
    <row r="14" spans="1:21" x14ac:dyDescent="0.25">
      <c r="A14" s="82"/>
      <c r="B14" s="82"/>
      <c r="C14" s="82" t="s">
        <v>145</v>
      </c>
      <c r="D14" s="82" t="s">
        <v>150</v>
      </c>
      <c r="E14" s="70"/>
      <c r="F14" s="70"/>
      <c r="G14" s="70"/>
      <c r="H14" s="70"/>
      <c r="I14" s="70"/>
      <c r="J14" s="70"/>
      <c r="K14" s="70"/>
      <c r="L14" s="70"/>
      <c r="M14" s="70"/>
      <c r="N14" s="70"/>
      <c r="O14" s="70"/>
      <c r="P14" s="70"/>
      <c r="Q14" s="70"/>
      <c r="R14" s="70"/>
      <c r="S14" s="70"/>
      <c r="T14" s="70"/>
      <c r="U14" s="70"/>
    </row>
    <row r="15" spans="1:21" x14ac:dyDescent="0.25">
      <c r="A15" s="82"/>
      <c r="B15" s="82"/>
      <c r="C15" s="82" t="s">
        <v>146</v>
      </c>
      <c r="D15" s="82" t="s">
        <v>151</v>
      </c>
      <c r="E15" s="70"/>
      <c r="F15" s="70"/>
      <c r="G15" s="70"/>
      <c r="H15" s="70"/>
      <c r="I15" s="70"/>
      <c r="J15" s="70"/>
      <c r="K15" s="70"/>
      <c r="L15" s="70"/>
      <c r="M15" s="70"/>
      <c r="N15" s="70"/>
      <c r="O15" s="70"/>
      <c r="P15" s="70"/>
      <c r="Q15" s="70"/>
      <c r="R15" s="70"/>
      <c r="S15" s="70"/>
      <c r="T15" s="70"/>
      <c r="U15" s="70"/>
    </row>
    <row r="16" spans="1:21" x14ac:dyDescent="0.25">
      <c r="A16" s="82"/>
      <c r="B16" s="82"/>
      <c r="C16" s="82"/>
      <c r="D16" s="82"/>
      <c r="E16" s="70"/>
      <c r="F16" s="70"/>
      <c r="G16" s="70"/>
      <c r="H16" s="70"/>
      <c r="I16" s="70"/>
      <c r="J16" s="70"/>
      <c r="K16" s="70"/>
      <c r="L16" s="70"/>
      <c r="M16" s="70"/>
      <c r="N16" s="70"/>
      <c r="O16" s="70"/>
    </row>
    <row r="17" spans="1:15" x14ac:dyDescent="0.25">
      <c r="A17" s="82"/>
      <c r="B17" s="82"/>
      <c r="C17" s="82"/>
      <c r="D17" s="82"/>
      <c r="E17" s="70"/>
      <c r="F17" s="70"/>
      <c r="G17" s="70"/>
      <c r="H17" s="70"/>
      <c r="I17" s="70"/>
      <c r="J17" s="70"/>
      <c r="K17" s="70"/>
      <c r="L17" s="70"/>
      <c r="M17" s="70"/>
      <c r="N17" s="70"/>
      <c r="O17" s="70"/>
    </row>
    <row r="18" spans="1:15" x14ac:dyDescent="0.25">
      <c r="A18" s="82"/>
      <c r="B18" s="86"/>
      <c r="C18" s="86"/>
      <c r="D18" s="86"/>
      <c r="E18" s="70"/>
      <c r="F18" s="70"/>
      <c r="G18" s="70"/>
      <c r="H18" s="70"/>
      <c r="I18" s="70"/>
      <c r="J18" s="70"/>
      <c r="K18" s="70"/>
      <c r="L18" s="70"/>
      <c r="M18" s="70"/>
      <c r="N18" s="70"/>
      <c r="O18" s="70"/>
    </row>
    <row r="19" spans="1:15" x14ac:dyDescent="0.25">
      <c r="A19" s="82"/>
      <c r="B19" s="86"/>
      <c r="C19" s="86"/>
      <c r="D19" s="86"/>
      <c r="E19" s="70"/>
      <c r="F19" s="70"/>
      <c r="G19" s="70"/>
      <c r="H19" s="70"/>
      <c r="I19" s="70"/>
      <c r="J19" s="70"/>
      <c r="K19" s="70"/>
      <c r="L19" s="70"/>
      <c r="M19" s="70"/>
      <c r="N19" s="70"/>
      <c r="O19" s="70"/>
    </row>
    <row r="20" spans="1:15" x14ac:dyDescent="0.25">
      <c r="A20" s="82"/>
      <c r="B20" s="86"/>
      <c r="C20" s="86"/>
      <c r="D20" s="86"/>
      <c r="E20" s="70"/>
      <c r="F20" s="70"/>
      <c r="G20" s="70"/>
      <c r="H20" s="70"/>
      <c r="I20" s="70"/>
      <c r="J20" s="70"/>
      <c r="K20" s="70"/>
      <c r="L20" s="70"/>
      <c r="M20" s="70"/>
      <c r="N20" s="70"/>
      <c r="O20" s="70"/>
    </row>
    <row r="21" spans="1:15" x14ac:dyDescent="0.25">
      <c r="A21" s="82"/>
      <c r="B21" s="86"/>
      <c r="C21" s="86"/>
      <c r="D21" s="86"/>
      <c r="E21" s="70"/>
      <c r="F21" s="70"/>
      <c r="G21" s="70"/>
      <c r="H21" s="70"/>
      <c r="I21" s="70"/>
      <c r="J21" s="70"/>
      <c r="K21" s="70"/>
      <c r="L21" s="70"/>
      <c r="M21" s="70"/>
      <c r="N21" s="70"/>
      <c r="O21" s="70"/>
    </row>
    <row r="22" spans="1:15" ht="20.25" x14ac:dyDescent="0.25">
      <c r="A22" s="82"/>
      <c r="B22" s="82"/>
      <c r="C22" s="84"/>
      <c r="D22" s="84"/>
      <c r="E22" s="70"/>
      <c r="F22" s="70"/>
      <c r="G22" s="70"/>
      <c r="H22" s="70"/>
      <c r="I22" s="70"/>
      <c r="J22" s="70"/>
      <c r="K22" s="70"/>
      <c r="L22" s="70"/>
      <c r="M22" s="70"/>
      <c r="N22" s="70"/>
      <c r="O22" s="70"/>
    </row>
    <row r="23" spans="1:15" ht="20.25" x14ac:dyDescent="0.25">
      <c r="A23" s="82"/>
      <c r="B23" s="82"/>
      <c r="C23" s="84"/>
      <c r="D23" s="84"/>
      <c r="E23" s="70"/>
      <c r="F23" s="70"/>
      <c r="G23" s="70"/>
      <c r="H23" s="70"/>
      <c r="I23" s="70"/>
      <c r="J23" s="70"/>
      <c r="K23" s="70"/>
      <c r="L23" s="70"/>
      <c r="M23" s="70"/>
      <c r="N23" s="70"/>
      <c r="O23" s="70"/>
    </row>
    <row r="24" spans="1:15" ht="20.25" x14ac:dyDescent="0.25">
      <c r="A24" s="82"/>
      <c r="B24" s="82"/>
      <c r="C24" s="84"/>
      <c r="D24" s="84"/>
      <c r="E24" s="70"/>
      <c r="F24" s="70"/>
      <c r="G24" s="70"/>
      <c r="H24" s="70"/>
      <c r="I24" s="70"/>
      <c r="J24" s="70"/>
      <c r="K24" s="70"/>
      <c r="L24" s="70"/>
      <c r="M24" s="70"/>
      <c r="N24" s="70"/>
      <c r="O24" s="70"/>
    </row>
    <row r="25" spans="1:15" ht="20.25" x14ac:dyDescent="0.25">
      <c r="A25" s="82"/>
      <c r="B25" s="82"/>
      <c r="C25" s="84"/>
      <c r="D25" s="84"/>
      <c r="E25" s="70"/>
      <c r="F25" s="70"/>
      <c r="G25" s="70"/>
      <c r="H25" s="70"/>
      <c r="I25" s="70"/>
      <c r="J25" s="70"/>
      <c r="K25" s="70"/>
      <c r="L25" s="70"/>
      <c r="M25" s="70"/>
      <c r="N25" s="70"/>
      <c r="O25" s="70"/>
    </row>
    <row r="26" spans="1:15" ht="20.25" x14ac:dyDescent="0.25">
      <c r="A26" s="82"/>
      <c r="B26" s="82"/>
      <c r="C26" s="84"/>
      <c r="D26" s="84"/>
      <c r="E26" s="70"/>
      <c r="F26" s="70"/>
      <c r="G26" s="70"/>
      <c r="H26" s="70"/>
      <c r="I26" s="70"/>
      <c r="J26" s="70"/>
      <c r="K26" s="70"/>
      <c r="L26" s="70"/>
      <c r="M26" s="70"/>
      <c r="N26" s="70"/>
      <c r="O26" s="70"/>
    </row>
    <row r="27" spans="1:15" ht="20.25" x14ac:dyDescent="0.25">
      <c r="A27" s="82"/>
      <c r="B27" s="82"/>
      <c r="C27" s="84"/>
      <c r="D27" s="84"/>
      <c r="E27" s="70"/>
      <c r="F27" s="70"/>
      <c r="G27" s="70"/>
      <c r="H27" s="70"/>
      <c r="I27" s="70"/>
      <c r="J27" s="70"/>
      <c r="K27" s="70"/>
      <c r="L27" s="70"/>
      <c r="M27" s="70"/>
      <c r="N27" s="70"/>
      <c r="O27" s="70"/>
    </row>
    <row r="28" spans="1:15" ht="20.25" x14ac:dyDescent="0.25">
      <c r="A28" s="82"/>
      <c r="B28" s="82"/>
      <c r="C28" s="84"/>
      <c r="D28" s="84"/>
      <c r="E28" s="70"/>
      <c r="F28" s="70"/>
      <c r="G28" s="70"/>
      <c r="H28" s="70"/>
      <c r="I28" s="70"/>
      <c r="J28" s="70"/>
      <c r="K28" s="70"/>
      <c r="L28" s="70"/>
      <c r="M28" s="70"/>
      <c r="N28" s="70"/>
      <c r="O28" s="70"/>
    </row>
    <row r="29" spans="1:15" ht="20.25" x14ac:dyDescent="0.25">
      <c r="A29" s="82"/>
      <c r="B29" s="82"/>
      <c r="C29" s="84"/>
      <c r="D29" s="84"/>
      <c r="E29" s="70"/>
      <c r="F29" s="70"/>
      <c r="G29" s="70"/>
      <c r="H29" s="70"/>
      <c r="I29" s="70"/>
      <c r="J29" s="70"/>
      <c r="K29" s="70"/>
      <c r="L29" s="70"/>
      <c r="M29" s="70"/>
      <c r="N29" s="70"/>
      <c r="O29" s="70"/>
    </row>
    <row r="30" spans="1:15" ht="20.25" x14ac:dyDescent="0.25">
      <c r="A30" s="82"/>
      <c r="B30" s="82"/>
      <c r="C30" s="84"/>
      <c r="D30" s="84"/>
      <c r="E30" s="70"/>
      <c r="F30" s="70"/>
      <c r="G30" s="70"/>
      <c r="H30" s="70"/>
      <c r="I30" s="70"/>
      <c r="J30" s="70"/>
      <c r="K30" s="70"/>
      <c r="L30" s="70"/>
      <c r="M30" s="70"/>
      <c r="N30" s="70"/>
      <c r="O30" s="70"/>
    </row>
    <row r="31" spans="1:15" ht="20.25" x14ac:dyDescent="0.25">
      <c r="A31" s="82"/>
      <c r="B31" s="82"/>
      <c r="C31" s="84"/>
      <c r="D31" s="84"/>
      <c r="E31" s="70"/>
      <c r="F31" s="70"/>
      <c r="G31" s="70"/>
      <c r="H31" s="70"/>
      <c r="I31" s="70"/>
      <c r="J31" s="70"/>
      <c r="K31" s="70"/>
      <c r="L31" s="70"/>
      <c r="M31" s="70"/>
      <c r="N31" s="70"/>
      <c r="O31" s="70"/>
    </row>
    <row r="32" spans="1:15" ht="20.25" x14ac:dyDescent="0.25">
      <c r="A32" s="82"/>
      <c r="B32" s="82"/>
      <c r="C32" s="84"/>
      <c r="D32" s="84"/>
      <c r="E32" s="70"/>
      <c r="F32" s="70"/>
      <c r="G32" s="70"/>
      <c r="H32" s="70"/>
      <c r="I32" s="70"/>
      <c r="J32" s="70"/>
      <c r="K32" s="70"/>
      <c r="L32" s="70"/>
      <c r="M32" s="70"/>
      <c r="N32" s="70"/>
      <c r="O32" s="70"/>
    </row>
    <row r="33" spans="1:15" ht="20.25" x14ac:dyDescent="0.25">
      <c r="A33" s="82"/>
      <c r="B33" s="82"/>
      <c r="C33" s="84"/>
      <c r="D33" s="84"/>
      <c r="E33" s="70"/>
      <c r="F33" s="70"/>
      <c r="G33" s="70"/>
      <c r="H33" s="70"/>
      <c r="I33" s="70"/>
      <c r="J33" s="70"/>
      <c r="K33" s="70"/>
      <c r="L33" s="70"/>
      <c r="M33" s="70"/>
      <c r="N33" s="70"/>
      <c r="O33" s="70"/>
    </row>
    <row r="34" spans="1:15" ht="20.25" x14ac:dyDescent="0.25">
      <c r="A34" s="82"/>
      <c r="B34" s="82"/>
      <c r="C34" s="84"/>
      <c r="D34" s="84"/>
      <c r="E34" s="70"/>
      <c r="F34" s="70"/>
      <c r="G34" s="70"/>
      <c r="H34" s="70"/>
      <c r="I34" s="70"/>
      <c r="J34" s="70"/>
      <c r="K34" s="70"/>
      <c r="L34" s="70"/>
      <c r="M34" s="70"/>
      <c r="N34" s="70"/>
      <c r="O34" s="70"/>
    </row>
    <row r="35" spans="1:15" ht="20.25" x14ac:dyDescent="0.25">
      <c r="A35" s="82"/>
      <c r="B35" s="82"/>
      <c r="C35" s="84"/>
      <c r="D35" s="84"/>
      <c r="E35" s="70"/>
      <c r="F35" s="70"/>
      <c r="G35" s="70"/>
      <c r="H35" s="70"/>
      <c r="I35" s="70"/>
      <c r="J35" s="70"/>
      <c r="K35" s="70"/>
      <c r="L35" s="70"/>
      <c r="M35" s="70"/>
      <c r="N35" s="70"/>
      <c r="O35" s="70"/>
    </row>
    <row r="36" spans="1:15" ht="20.25" x14ac:dyDescent="0.25">
      <c r="A36" s="82"/>
      <c r="B36" s="82"/>
      <c r="C36" s="84"/>
      <c r="D36" s="84"/>
      <c r="E36" s="70"/>
      <c r="F36" s="70"/>
      <c r="G36" s="70"/>
      <c r="H36" s="70"/>
      <c r="I36" s="70"/>
      <c r="J36" s="70"/>
      <c r="K36" s="70"/>
      <c r="L36" s="70"/>
      <c r="M36" s="70"/>
      <c r="N36" s="70"/>
      <c r="O36" s="70"/>
    </row>
    <row r="37" spans="1:15" ht="20.25" x14ac:dyDescent="0.25">
      <c r="A37" s="82"/>
      <c r="B37" s="82"/>
      <c r="C37" s="84"/>
      <c r="D37" s="84"/>
      <c r="E37" s="70"/>
      <c r="F37" s="70"/>
      <c r="G37" s="70"/>
      <c r="H37" s="70"/>
      <c r="I37" s="70"/>
      <c r="J37" s="70"/>
      <c r="K37" s="70"/>
      <c r="L37" s="70"/>
      <c r="M37" s="70"/>
      <c r="N37" s="70"/>
      <c r="O37" s="70"/>
    </row>
    <row r="38" spans="1:15" ht="20.25" x14ac:dyDescent="0.25">
      <c r="A38" s="82"/>
      <c r="B38" s="82"/>
      <c r="C38" s="84"/>
      <c r="D38" s="84"/>
      <c r="E38" s="70"/>
      <c r="F38" s="70"/>
      <c r="G38" s="70"/>
      <c r="H38" s="70"/>
      <c r="I38" s="70"/>
      <c r="J38" s="70"/>
      <c r="K38" s="70"/>
      <c r="L38" s="70"/>
      <c r="M38" s="70"/>
      <c r="N38" s="70"/>
      <c r="O38" s="70"/>
    </row>
    <row r="39" spans="1:15" ht="20.25" x14ac:dyDescent="0.25">
      <c r="A39" s="82"/>
      <c r="B39" s="82"/>
      <c r="C39" s="84"/>
      <c r="D39" s="84"/>
      <c r="E39" s="70"/>
      <c r="F39" s="70"/>
      <c r="G39" s="70"/>
      <c r="H39" s="70"/>
      <c r="I39" s="70"/>
      <c r="J39" s="70"/>
      <c r="K39" s="70"/>
      <c r="L39" s="70"/>
      <c r="M39" s="70"/>
      <c r="N39" s="70"/>
      <c r="O39" s="70"/>
    </row>
    <row r="40" spans="1:15" ht="20.25" x14ac:dyDescent="0.25">
      <c r="A40" s="82"/>
      <c r="B40" s="82"/>
      <c r="C40" s="84"/>
      <c r="D40" s="84"/>
      <c r="E40" s="70"/>
      <c r="F40" s="70"/>
      <c r="G40" s="70"/>
      <c r="H40" s="70"/>
      <c r="I40" s="70"/>
      <c r="J40" s="70"/>
      <c r="K40" s="70"/>
      <c r="L40" s="70"/>
      <c r="M40" s="70"/>
      <c r="N40" s="70"/>
      <c r="O40" s="70"/>
    </row>
    <row r="41" spans="1:15" ht="20.25" x14ac:dyDescent="0.25">
      <c r="A41" s="82"/>
      <c r="B41" s="82"/>
      <c r="C41" s="84"/>
      <c r="D41" s="84"/>
      <c r="E41" s="70"/>
      <c r="F41" s="70"/>
      <c r="G41" s="70"/>
      <c r="H41" s="70"/>
      <c r="I41" s="70"/>
      <c r="J41" s="70"/>
      <c r="K41" s="70"/>
      <c r="L41" s="70"/>
      <c r="M41" s="70"/>
      <c r="N41" s="70"/>
      <c r="O41" s="70"/>
    </row>
    <row r="42" spans="1:15" ht="20.25" x14ac:dyDescent="0.25">
      <c r="A42" s="82"/>
      <c r="B42" s="82"/>
      <c r="C42" s="84"/>
      <c r="D42" s="84"/>
      <c r="E42" s="70"/>
      <c r="F42" s="70"/>
      <c r="G42" s="70"/>
      <c r="H42" s="70"/>
      <c r="I42" s="70"/>
      <c r="J42" s="70"/>
      <c r="K42" s="70"/>
      <c r="L42" s="70"/>
      <c r="M42" s="70"/>
      <c r="N42" s="70"/>
      <c r="O42" s="70"/>
    </row>
    <row r="43" spans="1:15" ht="20.25" x14ac:dyDescent="0.25">
      <c r="A43" s="82"/>
      <c r="B43" s="82"/>
      <c r="C43" s="84"/>
      <c r="D43" s="84"/>
      <c r="E43" s="70"/>
      <c r="F43" s="70"/>
      <c r="G43" s="70"/>
      <c r="H43" s="70"/>
      <c r="I43" s="70"/>
      <c r="J43" s="70"/>
      <c r="K43" s="70"/>
      <c r="L43" s="70"/>
      <c r="M43" s="70"/>
      <c r="N43" s="70"/>
      <c r="O43" s="70"/>
    </row>
    <row r="44" spans="1:15" ht="20.25" x14ac:dyDescent="0.25">
      <c r="A44" s="82"/>
      <c r="B44" s="82"/>
      <c r="C44" s="84"/>
      <c r="D44" s="84"/>
      <c r="E44" s="70"/>
      <c r="F44" s="70"/>
      <c r="G44" s="70"/>
      <c r="H44" s="70"/>
      <c r="I44" s="70"/>
      <c r="J44" s="70"/>
      <c r="K44" s="70"/>
      <c r="L44" s="70"/>
      <c r="M44" s="70"/>
      <c r="N44" s="70"/>
      <c r="O44" s="70"/>
    </row>
    <row r="45" spans="1:15" ht="20.25" x14ac:dyDescent="0.25">
      <c r="A45" s="82"/>
      <c r="B45" s="82"/>
      <c r="C45" s="84"/>
      <c r="D45" s="84"/>
      <c r="E45" s="70"/>
      <c r="F45" s="70"/>
      <c r="G45" s="70"/>
      <c r="H45" s="70"/>
      <c r="I45" s="70"/>
      <c r="J45" s="70"/>
      <c r="K45" s="70"/>
      <c r="L45" s="70"/>
      <c r="M45" s="70"/>
      <c r="N45" s="70"/>
      <c r="O45" s="70"/>
    </row>
    <row r="46" spans="1:15" ht="20.25" x14ac:dyDescent="0.25">
      <c r="A46" s="82"/>
      <c r="B46" s="82"/>
      <c r="C46" s="84"/>
      <c r="D46" s="84"/>
      <c r="E46" s="70"/>
      <c r="F46" s="70"/>
      <c r="G46" s="70"/>
      <c r="H46" s="70"/>
      <c r="I46" s="70"/>
      <c r="J46" s="70"/>
      <c r="K46" s="70"/>
      <c r="L46" s="70"/>
      <c r="M46" s="70"/>
      <c r="N46" s="70"/>
      <c r="O46" s="70"/>
    </row>
    <row r="47" spans="1:15" ht="20.25" x14ac:dyDescent="0.25">
      <c r="A47" s="82"/>
      <c r="B47" s="82"/>
      <c r="C47" s="84"/>
      <c r="D47" s="84"/>
      <c r="E47" s="70"/>
      <c r="F47" s="70"/>
      <c r="G47" s="70"/>
      <c r="H47" s="70"/>
      <c r="I47" s="70"/>
      <c r="J47" s="70"/>
      <c r="K47" s="70"/>
      <c r="L47" s="70"/>
      <c r="M47" s="70"/>
      <c r="N47" s="70"/>
      <c r="O47" s="70"/>
    </row>
    <row r="48" spans="1:15" ht="20.25" x14ac:dyDescent="0.25">
      <c r="A48" s="82"/>
      <c r="B48" s="82"/>
      <c r="C48" s="84"/>
      <c r="D48" s="84"/>
      <c r="E48" s="70"/>
      <c r="F48" s="70"/>
      <c r="G48" s="70"/>
      <c r="H48" s="70"/>
      <c r="I48" s="70"/>
      <c r="J48" s="70"/>
      <c r="K48" s="70"/>
      <c r="L48" s="70"/>
      <c r="M48" s="70"/>
      <c r="N48" s="70"/>
      <c r="O48" s="70"/>
    </row>
    <row r="49" spans="1:15" ht="20.25" x14ac:dyDescent="0.25">
      <c r="A49" s="82"/>
      <c r="B49" s="82"/>
      <c r="C49" s="84"/>
      <c r="D49" s="84"/>
      <c r="E49" s="70"/>
      <c r="F49" s="70"/>
      <c r="G49" s="70"/>
      <c r="H49" s="70"/>
      <c r="I49" s="70"/>
      <c r="J49" s="70"/>
      <c r="K49" s="70"/>
      <c r="L49" s="70"/>
      <c r="M49" s="70"/>
      <c r="N49" s="70"/>
      <c r="O49" s="70"/>
    </row>
    <row r="50" spans="1:15" ht="20.25" x14ac:dyDescent="0.25">
      <c r="A50" s="82"/>
      <c r="B50" s="82"/>
      <c r="C50" s="84"/>
      <c r="D50" s="84"/>
      <c r="E50" s="70"/>
      <c r="F50" s="70"/>
      <c r="G50" s="70"/>
      <c r="H50" s="70"/>
      <c r="I50" s="70"/>
      <c r="J50" s="70"/>
      <c r="K50" s="70"/>
      <c r="L50" s="70"/>
      <c r="M50" s="70"/>
      <c r="N50" s="70"/>
      <c r="O50" s="70"/>
    </row>
    <row r="51" spans="1:15" ht="20.25" x14ac:dyDescent="0.25">
      <c r="A51" s="82"/>
      <c r="B51" s="82"/>
      <c r="C51" s="84"/>
      <c r="D51" s="84"/>
      <c r="E51" s="70"/>
      <c r="F51" s="70"/>
      <c r="G51" s="70"/>
      <c r="H51" s="70"/>
      <c r="I51" s="70"/>
      <c r="J51" s="70"/>
      <c r="K51" s="70"/>
      <c r="L51" s="70"/>
      <c r="M51" s="70"/>
      <c r="N51" s="70"/>
      <c r="O51" s="70"/>
    </row>
    <row r="52" spans="1:15" ht="20.25" x14ac:dyDescent="0.25">
      <c r="A52" s="82"/>
      <c r="B52" s="15"/>
      <c r="C52" s="20"/>
      <c r="D52" s="20"/>
    </row>
    <row r="53" spans="1:15" ht="20.25" x14ac:dyDescent="0.25">
      <c r="A53" s="82"/>
      <c r="B53" s="15"/>
      <c r="C53" s="20"/>
      <c r="D53" s="20"/>
    </row>
    <row r="54" spans="1:15" ht="20.25" x14ac:dyDescent="0.25">
      <c r="A54" s="82"/>
      <c r="B54" s="15"/>
      <c r="C54" s="20"/>
      <c r="D54" s="20"/>
    </row>
    <row r="55" spans="1:15" ht="20.25" x14ac:dyDescent="0.25">
      <c r="A55" s="82"/>
      <c r="B55" s="15"/>
      <c r="C55" s="20"/>
      <c r="D55" s="20"/>
    </row>
    <row r="56" spans="1:15" ht="20.25" x14ac:dyDescent="0.25">
      <c r="A56" s="82"/>
      <c r="B56" s="15"/>
      <c r="C56" s="20"/>
      <c r="D56" s="20"/>
    </row>
    <row r="57" spans="1:15" ht="20.25" x14ac:dyDescent="0.25">
      <c r="A57" s="82"/>
      <c r="B57" s="15"/>
      <c r="C57" s="20"/>
      <c r="D57" s="20"/>
    </row>
    <row r="58" spans="1:15" ht="20.25" x14ac:dyDescent="0.25">
      <c r="A58" s="82"/>
      <c r="B58" s="15"/>
      <c r="C58" s="20"/>
      <c r="D58" s="20"/>
    </row>
    <row r="59" spans="1:15" ht="20.25" x14ac:dyDescent="0.25">
      <c r="A59" s="82"/>
      <c r="B59" s="15"/>
      <c r="C59" s="20"/>
      <c r="D59" s="20"/>
    </row>
    <row r="60" spans="1:15" ht="20.25" x14ac:dyDescent="0.25">
      <c r="A60" s="82"/>
      <c r="B60" s="15"/>
      <c r="C60" s="20"/>
      <c r="D60" s="20"/>
    </row>
    <row r="61" spans="1:15" ht="20.25" x14ac:dyDescent="0.25">
      <c r="A61" s="82"/>
      <c r="B61" s="15"/>
      <c r="C61" s="20"/>
      <c r="D61" s="20"/>
    </row>
    <row r="62" spans="1:15" ht="20.25" x14ac:dyDescent="0.25">
      <c r="A62" s="82"/>
      <c r="B62" s="15"/>
      <c r="C62" s="20"/>
      <c r="D62" s="20"/>
    </row>
    <row r="63" spans="1:15" ht="20.25" x14ac:dyDescent="0.25">
      <c r="A63" s="82"/>
      <c r="B63" s="15"/>
      <c r="C63" s="20"/>
      <c r="D63" s="20"/>
    </row>
    <row r="64" spans="1:15" ht="20.25" x14ac:dyDescent="0.25">
      <c r="A64" s="82"/>
      <c r="B64" s="15"/>
      <c r="C64" s="20"/>
      <c r="D64" s="20"/>
    </row>
    <row r="65" spans="1:4" ht="20.25" x14ac:dyDescent="0.25">
      <c r="A65" s="82"/>
      <c r="B65" s="15"/>
      <c r="C65" s="20"/>
      <c r="D65" s="20"/>
    </row>
    <row r="66" spans="1:4" ht="20.25" x14ac:dyDescent="0.25">
      <c r="A66" s="82"/>
      <c r="B66" s="15"/>
      <c r="C66" s="20"/>
      <c r="D66" s="20"/>
    </row>
    <row r="67" spans="1:4" ht="20.25" x14ac:dyDescent="0.25">
      <c r="A67" s="82"/>
      <c r="B67" s="15"/>
      <c r="C67" s="20"/>
      <c r="D67" s="20"/>
    </row>
    <row r="68" spans="1:4" ht="20.25" x14ac:dyDescent="0.25">
      <c r="A68" s="82"/>
      <c r="B68" s="15"/>
      <c r="C68" s="20"/>
      <c r="D68" s="20"/>
    </row>
    <row r="69" spans="1:4" ht="20.25" x14ac:dyDescent="0.25">
      <c r="A69" s="82"/>
      <c r="B69" s="15"/>
      <c r="C69" s="20"/>
      <c r="D69" s="20"/>
    </row>
    <row r="70" spans="1:4" ht="20.25" x14ac:dyDescent="0.25">
      <c r="A70" s="82"/>
      <c r="B70" s="15"/>
      <c r="C70" s="20"/>
      <c r="D70" s="20"/>
    </row>
    <row r="71" spans="1:4" ht="20.25" x14ac:dyDescent="0.25">
      <c r="A71" s="82"/>
      <c r="B71" s="15"/>
      <c r="C71" s="20"/>
      <c r="D71" s="20"/>
    </row>
    <row r="72" spans="1:4" ht="20.25" x14ac:dyDescent="0.25">
      <c r="A72" s="82"/>
      <c r="B72" s="15"/>
      <c r="C72" s="20"/>
      <c r="D72" s="20"/>
    </row>
    <row r="73" spans="1:4" ht="20.25" x14ac:dyDescent="0.25">
      <c r="A73" s="82"/>
      <c r="B73" s="15"/>
      <c r="C73" s="20"/>
      <c r="D73" s="20"/>
    </row>
    <row r="74" spans="1:4" ht="20.25" x14ac:dyDescent="0.25">
      <c r="A74" s="82"/>
      <c r="B74" s="15"/>
      <c r="C74" s="20"/>
      <c r="D74" s="20"/>
    </row>
    <row r="75" spans="1:4" ht="20.25" x14ac:dyDescent="0.25">
      <c r="A75" s="82"/>
      <c r="B75" s="15"/>
      <c r="C75" s="20"/>
      <c r="D75" s="20"/>
    </row>
    <row r="76" spans="1:4" ht="20.25" x14ac:dyDescent="0.25">
      <c r="A76" s="82"/>
      <c r="B76" s="15"/>
      <c r="C76" s="20"/>
      <c r="D76" s="20"/>
    </row>
    <row r="77" spans="1:4" ht="20.25" x14ac:dyDescent="0.25">
      <c r="A77" s="82"/>
      <c r="B77" s="15"/>
      <c r="C77" s="20"/>
      <c r="D77" s="20"/>
    </row>
    <row r="78" spans="1:4" ht="20.25" x14ac:dyDescent="0.25">
      <c r="A78" s="82"/>
      <c r="B78" s="15"/>
      <c r="C78" s="20"/>
      <c r="D78" s="20"/>
    </row>
    <row r="79" spans="1:4" ht="20.25" x14ac:dyDescent="0.25">
      <c r="A79" s="82"/>
      <c r="B79" s="15"/>
      <c r="C79" s="20"/>
      <c r="D79" s="20"/>
    </row>
    <row r="80" spans="1:4" ht="20.25" x14ac:dyDescent="0.25">
      <c r="A80" s="82"/>
      <c r="B80" s="15"/>
      <c r="C80" s="20"/>
      <c r="D80" s="20"/>
    </row>
    <row r="81" spans="1:4" ht="20.25" x14ac:dyDescent="0.25">
      <c r="A81" s="82"/>
      <c r="B81" s="15"/>
      <c r="C81" s="20"/>
      <c r="D81" s="20"/>
    </row>
    <row r="82" spans="1:4" ht="20.25" x14ac:dyDescent="0.25">
      <c r="A82" s="82"/>
      <c r="B82" s="15"/>
      <c r="C82" s="20"/>
      <c r="D82" s="20"/>
    </row>
    <row r="83" spans="1:4" ht="20.25" x14ac:dyDescent="0.25">
      <c r="A83" s="82"/>
      <c r="B83" s="15"/>
      <c r="C83" s="20"/>
      <c r="D83" s="20"/>
    </row>
    <row r="84" spans="1:4" ht="20.25" x14ac:dyDescent="0.25">
      <c r="A84" s="82"/>
      <c r="B84" s="15"/>
      <c r="C84" s="20"/>
      <c r="D84" s="20"/>
    </row>
    <row r="85" spans="1:4" ht="20.25" x14ac:dyDescent="0.25">
      <c r="A85" s="82"/>
      <c r="B85" s="15"/>
      <c r="C85" s="20"/>
      <c r="D85" s="20"/>
    </row>
    <row r="86" spans="1:4" ht="20.25" x14ac:dyDescent="0.25">
      <c r="A86" s="82"/>
      <c r="B86" s="15"/>
      <c r="C86" s="20"/>
      <c r="D86" s="20"/>
    </row>
    <row r="87" spans="1:4" ht="20.25" x14ac:dyDescent="0.25">
      <c r="A87" s="82"/>
      <c r="B87" s="15"/>
      <c r="C87" s="20"/>
      <c r="D87" s="20"/>
    </row>
    <row r="88" spans="1:4" ht="20.25" x14ac:dyDescent="0.25">
      <c r="A88" s="82"/>
      <c r="B88" s="15"/>
      <c r="C88" s="20"/>
      <c r="D88" s="20"/>
    </row>
    <row r="89" spans="1:4" ht="20.25" x14ac:dyDescent="0.25">
      <c r="A89" s="82"/>
      <c r="B89" s="15"/>
      <c r="C89" s="20"/>
      <c r="D89" s="20"/>
    </row>
    <row r="90" spans="1:4" ht="20.25" x14ac:dyDescent="0.25">
      <c r="A90" s="82"/>
      <c r="B90" s="15"/>
      <c r="C90" s="20"/>
      <c r="D90" s="20"/>
    </row>
    <row r="91" spans="1:4" ht="20.25" x14ac:dyDescent="0.25">
      <c r="A91" s="82"/>
      <c r="B91" s="15"/>
      <c r="C91" s="20"/>
      <c r="D91" s="20"/>
    </row>
    <row r="92" spans="1:4" ht="20.25" x14ac:dyDescent="0.25">
      <c r="A92" s="82"/>
      <c r="B92" s="15"/>
      <c r="C92" s="20"/>
      <c r="D92" s="20"/>
    </row>
    <row r="93" spans="1:4" ht="20.25" x14ac:dyDescent="0.25">
      <c r="A93" s="82"/>
      <c r="B93" s="15"/>
      <c r="C93" s="20"/>
      <c r="D93" s="20"/>
    </row>
    <row r="94" spans="1:4" ht="20.25" x14ac:dyDescent="0.25">
      <c r="A94" s="82"/>
      <c r="B94" s="15"/>
      <c r="C94" s="20"/>
      <c r="D94" s="20"/>
    </row>
    <row r="95" spans="1:4" ht="20.25" x14ac:dyDescent="0.25">
      <c r="A95" s="82"/>
      <c r="B95" s="15"/>
      <c r="C95" s="20"/>
      <c r="D95" s="20"/>
    </row>
    <row r="96" spans="1:4" ht="20.25" x14ac:dyDescent="0.25">
      <c r="A96" s="82"/>
      <c r="B96" s="15"/>
      <c r="C96" s="20"/>
      <c r="D96" s="20"/>
    </row>
    <row r="97" spans="1:4" ht="20.25" x14ac:dyDescent="0.25">
      <c r="A97" s="82"/>
      <c r="B97" s="15"/>
      <c r="C97" s="20"/>
      <c r="D97" s="20"/>
    </row>
    <row r="98" spans="1:4" ht="20.25" x14ac:dyDescent="0.25">
      <c r="A98" s="82"/>
      <c r="B98" s="15"/>
      <c r="C98" s="20"/>
      <c r="D98" s="20"/>
    </row>
    <row r="99" spans="1:4" ht="20.25" x14ac:dyDescent="0.25">
      <c r="A99" s="82"/>
      <c r="B99" s="15"/>
      <c r="C99" s="20"/>
      <c r="D99" s="20"/>
    </row>
    <row r="100" spans="1:4" ht="20.25" x14ac:dyDescent="0.25">
      <c r="A100" s="82"/>
      <c r="B100" s="15"/>
      <c r="C100" s="20"/>
      <c r="D100" s="20"/>
    </row>
    <row r="101" spans="1:4" ht="20.25" x14ac:dyDescent="0.25">
      <c r="A101" s="82"/>
      <c r="B101" s="15"/>
      <c r="C101" s="20"/>
      <c r="D101" s="20"/>
    </row>
    <row r="102" spans="1:4" ht="20.25" x14ac:dyDescent="0.25">
      <c r="A102" s="82"/>
      <c r="B102" s="15"/>
      <c r="C102" s="20"/>
      <c r="D102" s="20"/>
    </row>
    <row r="103" spans="1:4" ht="20.25" x14ac:dyDescent="0.25">
      <c r="A103" s="82"/>
      <c r="B103" s="15"/>
      <c r="C103" s="20"/>
      <c r="D103" s="20"/>
    </row>
    <row r="104" spans="1:4" ht="20.25" x14ac:dyDescent="0.25">
      <c r="A104" s="82"/>
      <c r="B104" s="15"/>
      <c r="C104" s="20"/>
      <c r="D104" s="20"/>
    </row>
    <row r="105" spans="1:4" ht="20.25" x14ac:dyDescent="0.25">
      <c r="A105" s="82"/>
      <c r="B105" s="15"/>
      <c r="C105" s="20"/>
      <c r="D105" s="20"/>
    </row>
    <row r="106" spans="1:4" ht="20.25" x14ac:dyDescent="0.25">
      <c r="A106" s="82"/>
      <c r="B106" s="15"/>
      <c r="C106" s="20"/>
      <c r="D106" s="20"/>
    </row>
    <row r="107" spans="1:4" ht="20.25" x14ac:dyDescent="0.25">
      <c r="A107" s="82"/>
      <c r="B107" s="15"/>
      <c r="C107" s="20"/>
      <c r="D107" s="20"/>
    </row>
    <row r="108" spans="1:4" ht="20.25" x14ac:dyDescent="0.25">
      <c r="A108" s="82"/>
      <c r="B108" s="15"/>
      <c r="C108" s="20"/>
      <c r="D108" s="20"/>
    </row>
    <row r="109" spans="1:4" ht="20.25" x14ac:dyDescent="0.25">
      <c r="A109" s="82"/>
      <c r="B109" s="15"/>
      <c r="C109" s="20"/>
      <c r="D109" s="20"/>
    </row>
    <row r="110" spans="1:4" ht="20.25" x14ac:dyDescent="0.25">
      <c r="A110" s="82"/>
      <c r="B110" s="15"/>
      <c r="C110" s="20"/>
      <c r="D110" s="20"/>
    </row>
    <row r="111" spans="1:4" ht="20.25" x14ac:dyDescent="0.25">
      <c r="A111" s="82"/>
      <c r="B111" s="15"/>
      <c r="C111" s="20"/>
      <c r="D111" s="20"/>
    </row>
    <row r="112" spans="1:4" ht="20.25" x14ac:dyDescent="0.25">
      <c r="A112" s="82"/>
      <c r="B112" s="15"/>
      <c r="C112" s="20"/>
      <c r="D112" s="20"/>
    </row>
    <row r="113" spans="1:4" ht="20.25" x14ac:dyDescent="0.25">
      <c r="A113" s="82"/>
      <c r="B113" s="15"/>
      <c r="C113" s="20"/>
      <c r="D113" s="20"/>
    </row>
    <row r="114" spans="1:4" ht="20.25" x14ac:dyDescent="0.25">
      <c r="A114" s="82"/>
      <c r="B114" s="15"/>
      <c r="C114" s="20"/>
      <c r="D114" s="20"/>
    </row>
    <row r="115" spans="1:4" ht="20.25" x14ac:dyDescent="0.25">
      <c r="A115" s="82"/>
      <c r="B115" s="15"/>
      <c r="C115" s="20"/>
      <c r="D115" s="20"/>
    </row>
    <row r="116" spans="1:4" ht="20.25" x14ac:dyDescent="0.25">
      <c r="A116" s="82"/>
      <c r="B116" s="15"/>
      <c r="C116" s="20"/>
      <c r="D116" s="20"/>
    </row>
    <row r="117" spans="1:4" ht="20.25" x14ac:dyDescent="0.25">
      <c r="A117" s="82"/>
      <c r="B117" s="15"/>
      <c r="C117" s="20"/>
      <c r="D117" s="20"/>
    </row>
    <row r="118" spans="1:4" ht="20.25" x14ac:dyDescent="0.25">
      <c r="A118" s="82"/>
      <c r="B118" s="15"/>
      <c r="C118" s="20"/>
      <c r="D118" s="20"/>
    </row>
    <row r="119" spans="1:4" ht="20.25" x14ac:dyDescent="0.25">
      <c r="A119" s="82"/>
      <c r="B119" s="15"/>
      <c r="C119" s="20"/>
      <c r="D119" s="20"/>
    </row>
    <row r="120" spans="1:4" ht="20.25" x14ac:dyDescent="0.25">
      <c r="A120" s="82"/>
      <c r="B120" s="15"/>
      <c r="C120" s="20"/>
      <c r="D120" s="20"/>
    </row>
    <row r="121" spans="1:4" ht="20.25" x14ac:dyDescent="0.25">
      <c r="A121" s="82"/>
      <c r="B121" s="15"/>
      <c r="C121" s="20"/>
      <c r="D121" s="20"/>
    </row>
    <row r="122" spans="1:4" ht="20.25" x14ac:dyDescent="0.25">
      <c r="A122" s="82"/>
      <c r="B122" s="15"/>
      <c r="C122" s="20"/>
      <c r="D122" s="20"/>
    </row>
    <row r="123" spans="1:4" ht="20.25" x14ac:dyDescent="0.25">
      <c r="A123" s="82"/>
      <c r="B123" s="15"/>
      <c r="C123" s="20"/>
      <c r="D123" s="20"/>
    </row>
    <row r="124" spans="1:4" ht="20.25" x14ac:dyDescent="0.25">
      <c r="A124" s="82"/>
      <c r="B124" s="15"/>
      <c r="C124" s="20"/>
      <c r="D124" s="20"/>
    </row>
    <row r="125" spans="1:4" ht="20.25" x14ac:dyDescent="0.25">
      <c r="A125" s="82"/>
      <c r="B125" s="15"/>
      <c r="C125" s="20"/>
      <c r="D125" s="20"/>
    </row>
    <row r="126" spans="1:4" ht="20.25" x14ac:dyDescent="0.25">
      <c r="A126" s="82"/>
      <c r="B126" s="15"/>
      <c r="C126" s="20"/>
      <c r="D126" s="20"/>
    </row>
    <row r="127" spans="1:4" ht="20.25" x14ac:dyDescent="0.25">
      <c r="A127" s="82"/>
      <c r="B127" s="15"/>
      <c r="C127" s="20"/>
      <c r="D127" s="20"/>
    </row>
    <row r="128" spans="1:4" ht="20.25" x14ac:dyDescent="0.25">
      <c r="A128" s="82"/>
      <c r="B128" s="15"/>
      <c r="C128" s="20"/>
      <c r="D128" s="20"/>
    </row>
    <row r="129" spans="1:4" ht="20.25" x14ac:dyDescent="0.25">
      <c r="A129" s="82"/>
      <c r="B129" s="15"/>
      <c r="C129" s="20"/>
      <c r="D129" s="20"/>
    </row>
    <row r="130" spans="1:4" ht="20.25" x14ac:dyDescent="0.25">
      <c r="A130" s="82"/>
      <c r="B130" s="15"/>
      <c r="C130" s="20"/>
      <c r="D130" s="20"/>
    </row>
    <row r="131" spans="1:4" ht="20.25" x14ac:dyDescent="0.25">
      <c r="A131" s="82"/>
      <c r="B131" s="15"/>
      <c r="C131" s="20"/>
      <c r="D131" s="20"/>
    </row>
    <row r="132" spans="1:4" ht="20.25" x14ac:dyDescent="0.25">
      <c r="A132" s="82"/>
      <c r="B132" s="15"/>
      <c r="C132" s="20"/>
      <c r="D132" s="20"/>
    </row>
    <row r="133" spans="1:4" ht="20.25" x14ac:dyDescent="0.25">
      <c r="A133" s="82"/>
      <c r="B133" s="15"/>
      <c r="C133" s="20"/>
      <c r="D133" s="20"/>
    </row>
    <row r="134" spans="1:4" ht="20.25" x14ac:dyDescent="0.25">
      <c r="A134" s="82"/>
      <c r="B134" s="15"/>
      <c r="C134" s="20"/>
      <c r="D134" s="20"/>
    </row>
    <row r="135" spans="1:4" ht="20.25" x14ac:dyDescent="0.25">
      <c r="A135" s="82"/>
      <c r="B135" s="15"/>
      <c r="C135" s="20"/>
      <c r="D135" s="20"/>
    </row>
    <row r="136" spans="1:4" ht="20.25" x14ac:dyDescent="0.25">
      <c r="A136" s="82"/>
      <c r="B136" s="15"/>
      <c r="C136" s="20"/>
      <c r="D136" s="20"/>
    </row>
    <row r="137" spans="1:4" ht="20.25" x14ac:dyDescent="0.25">
      <c r="A137" s="82"/>
      <c r="B137" s="15"/>
      <c r="C137" s="20"/>
      <c r="D137" s="20"/>
    </row>
    <row r="138" spans="1:4" ht="20.25" x14ac:dyDescent="0.25">
      <c r="A138" s="82"/>
      <c r="B138" s="15"/>
      <c r="C138" s="20"/>
      <c r="D138" s="20"/>
    </row>
    <row r="139" spans="1:4" ht="20.25" x14ac:dyDescent="0.25">
      <c r="A139" s="82"/>
      <c r="B139" s="15"/>
      <c r="C139" s="20"/>
      <c r="D139" s="20"/>
    </row>
    <row r="140" spans="1:4" ht="20.25" x14ac:dyDescent="0.25">
      <c r="A140" s="82"/>
      <c r="B140" s="15"/>
      <c r="C140" s="20"/>
      <c r="D140" s="20"/>
    </row>
    <row r="141" spans="1:4" ht="20.25" x14ac:dyDescent="0.25">
      <c r="A141" s="82"/>
      <c r="B141" s="15"/>
      <c r="C141" s="20"/>
      <c r="D141" s="20"/>
    </row>
    <row r="142" spans="1:4" ht="20.25" x14ac:dyDescent="0.25">
      <c r="A142" s="82"/>
      <c r="B142" s="15"/>
      <c r="C142" s="20"/>
      <c r="D142" s="20"/>
    </row>
    <row r="143" spans="1:4" ht="20.25" x14ac:dyDescent="0.25">
      <c r="A143" s="82"/>
      <c r="B143" s="15"/>
      <c r="C143" s="20"/>
      <c r="D143" s="20"/>
    </row>
    <row r="144" spans="1:4" ht="20.25" x14ac:dyDescent="0.25">
      <c r="A144" s="82"/>
      <c r="B144" s="15"/>
      <c r="C144" s="20"/>
      <c r="D144" s="20"/>
    </row>
    <row r="145" spans="1:4" ht="20.25" x14ac:dyDescent="0.25">
      <c r="A145" s="82"/>
      <c r="B145" s="15"/>
      <c r="C145" s="20"/>
      <c r="D145" s="20"/>
    </row>
    <row r="146" spans="1:4" ht="20.25" x14ac:dyDescent="0.25">
      <c r="A146" s="82"/>
      <c r="B146" s="15"/>
      <c r="C146" s="20"/>
      <c r="D146" s="20"/>
    </row>
    <row r="147" spans="1:4" ht="20.25" x14ac:dyDescent="0.25">
      <c r="A147" s="82"/>
      <c r="B147" s="15"/>
      <c r="C147" s="20"/>
      <c r="D147" s="20"/>
    </row>
    <row r="148" spans="1:4" ht="20.25" x14ac:dyDescent="0.25">
      <c r="A148" s="82"/>
      <c r="B148" s="15"/>
      <c r="C148" s="20"/>
      <c r="D148" s="20"/>
    </row>
    <row r="149" spans="1:4" ht="20.25" x14ac:dyDescent="0.25">
      <c r="A149" s="82"/>
      <c r="B149" s="15"/>
      <c r="C149" s="20"/>
      <c r="D149" s="20"/>
    </row>
    <row r="150" spans="1:4" ht="20.25" x14ac:dyDescent="0.25">
      <c r="A150" s="82"/>
      <c r="B150" s="15"/>
      <c r="C150" s="20"/>
      <c r="D150" s="20"/>
    </row>
    <row r="151" spans="1:4" ht="20.25" x14ac:dyDescent="0.25">
      <c r="A151" s="82"/>
      <c r="B151" s="15"/>
      <c r="C151" s="20"/>
      <c r="D151" s="20"/>
    </row>
    <row r="152" spans="1:4" ht="20.25" x14ac:dyDescent="0.25">
      <c r="A152" s="82"/>
      <c r="B152" s="15"/>
      <c r="C152" s="20"/>
      <c r="D152" s="20"/>
    </row>
    <row r="153" spans="1:4" ht="20.25" x14ac:dyDescent="0.25">
      <c r="A153" s="82"/>
      <c r="B153" s="15"/>
      <c r="C153" s="20"/>
      <c r="D153" s="20"/>
    </row>
    <row r="154" spans="1:4" ht="20.25" x14ac:dyDescent="0.25">
      <c r="A154" s="82"/>
      <c r="B154" s="15"/>
      <c r="C154" s="20"/>
      <c r="D154" s="20"/>
    </row>
    <row r="155" spans="1:4" ht="20.25" x14ac:dyDescent="0.25">
      <c r="A155" s="82"/>
      <c r="B155" s="15"/>
      <c r="C155" s="20"/>
      <c r="D155" s="20"/>
    </row>
    <row r="156" spans="1:4" ht="20.25" x14ac:dyDescent="0.25">
      <c r="A156" s="82"/>
      <c r="B156" s="15"/>
      <c r="C156" s="20"/>
      <c r="D156" s="20"/>
    </row>
    <row r="157" spans="1:4" ht="20.25" x14ac:dyDescent="0.25">
      <c r="A157" s="82"/>
      <c r="B157" s="15"/>
      <c r="C157" s="20"/>
      <c r="D157" s="20"/>
    </row>
    <row r="158" spans="1:4" ht="20.25" x14ac:dyDescent="0.25">
      <c r="A158" s="82"/>
      <c r="B158" s="15"/>
      <c r="C158" s="20"/>
      <c r="D158" s="20"/>
    </row>
    <row r="159" spans="1:4" ht="20.25" x14ac:dyDescent="0.25">
      <c r="A159" s="82"/>
      <c r="B159" s="15"/>
      <c r="C159" s="20"/>
      <c r="D159" s="20"/>
    </row>
    <row r="160" spans="1:4" ht="20.25" x14ac:dyDescent="0.25">
      <c r="A160" s="82"/>
      <c r="B160" s="15"/>
      <c r="C160" s="20"/>
      <c r="D160" s="20"/>
    </row>
    <row r="161" spans="1:4" ht="20.25" x14ac:dyDescent="0.25">
      <c r="A161" s="82"/>
      <c r="B161" s="15"/>
      <c r="C161" s="20"/>
      <c r="D161" s="20"/>
    </row>
    <row r="162" spans="1:4" ht="20.25" x14ac:dyDescent="0.25">
      <c r="A162" s="82"/>
      <c r="B162" s="15"/>
      <c r="C162" s="20"/>
      <c r="D162" s="20"/>
    </row>
    <row r="163" spans="1:4" ht="20.25" x14ac:dyDescent="0.25">
      <c r="A163" s="82"/>
      <c r="B163" s="15"/>
      <c r="C163" s="20"/>
      <c r="D163" s="20"/>
    </row>
    <row r="164" spans="1:4" ht="20.25" x14ac:dyDescent="0.25">
      <c r="A164" s="82"/>
      <c r="B164" s="15"/>
      <c r="C164" s="20"/>
      <c r="D164" s="20"/>
    </row>
    <row r="165" spans="1:4" ht="20.25" x14ac:dyDescent="0.25">
      <c r="A165" s="82"/>
      <c r="B165" s="15"/>
      <c r="C165" s="20"/>
      <c r="D165" s="20"/>
    </row>
    <row r="166" spans="1:4" ht="20.25" x14ac:dyDescent="0.25">
      <c r="A166" s="82"/>
      <c r="B166" s="15"/>
      <c r="C166" s="20"/>
      <c r="D166" s="20"/>
    </row>
    <row r="167" spans="1:4" ht="20.25" x14ac:dyDescent="0.25">
      <c r="A167" s="82"/>
      <c r="B167" s="15"/>
      <c r="C167" s="20"/>
      <c r="D167" s="20"/>
    </row>
    <row r="168" spans="1:4" ht="20.25" x14ac:dyDescent="0.25">
      <c r="A168" s="82"/>
      <c r="B168" s="15"/>
      <c r="C168" s="20"/>
      <c r="D168" s="20"/>
    </row>
    <row r="169" spans="1:4" ht="20.25" x14ac:dyDescent="0.25">
      <c r="A169" s="82"/>
      <c r="B169" s="15"/>
      <c r="C169" s="20"/>
      <c r="D169" s="20"/>
    </row>
    <row r="170" spans="1:4" ht="20.25" x14ac:dyDescent="0.25">
      <c r="A170" s="82"/>
      <c r="B170" s="15"/>
      <c r="C170" s="20"/>
      <c r="D170" s="20"/>
    </row>
    <row r="171" spans="1:4" ht="20.25" x14ac:dyDescent="0.25">
      <c r="A171" s="82"/>
      <c r="B171" s="15"/>
      <c r="C171" s="20"/>
      <c r="D171" s="20"/>
    </row>
    <row r="172" spans="1:4" ht="20.25" x14ac:dyDescent="0.25">
      <c r="A172" s="82"/>
      <c r="B172" s="15"/>
      <c r="C172" s="20"/>
      <c r="D172" s="20"/>
    </row>
    <row r="173" spans="1:4" ht="20.25" x14ac:dyDescent="0.25">
      <c r="A173" s="82"/>
      <c r="B173" s="15"/>
      <c r="C173" s="20"/>
      <c r="D173" s="20"/>
    </row>
    <row r="174" spans="1:4" ht="20.25" x14ac:dyDescent="0.25">
      <c r="A174" s="82"/>
      <c r="B174" s="15"/>
      <c r="C174" s="20"/>
      <c r="D174" s="20"/>
    </row>
    <row r="175" spans="1:4" ht="20.25" x14ac:dyDescent="0.25">
      <c r="A175" s="82"/>
      <c r="B175" s="15"/>
      <c r="C175" s="20"/>
      <c r="D175" s="20"/>
    </row>
    <row r="176" spans="1:4" ht="20.25" x14ac:dyDescent="0.25">
      <c r="A176" s="82"/>
      <c r="B176" s="15"/>
      <c r="C176" s="20"/>
      <c r="D176" s="20"/>
    </row>
    <row r="177" spans="1:4" ht="20.25" x14ac:dyDescent="0.25">
      <c r="A177" s="82"/>
      <c r="B177" s="15"/>
      <c r="C177" s="20"/>
      <c r="D177" s="20"/>
    </row>
    <row r="178" spans="1:4" ht="20.25" x14ac:dyDescent="0.25">
      <c r="A178" s="82"/>
      <c r="B178" s="15"/>
      <c r="C178" s="20"/>
      <c r="D178" s="20"/>
    </row>
    <row r="179" spans="1:4" ht="20.25" x14ac:dyDescent="0.25">
      <c r="A179" s="82"/>
      <c r="B179" s="15"/>
      <c r="C179" s="20"/>
      <c r="D179" s="20"/>
    </row>
    <row r="180" spans="1:4" ht="20.25" x14ac:dyDescent="0.25">
      <c r="A180" s="82"/>
      <c r="B180" s="15"/>
      <c r="C180" s="20"/>
      <c r="D180" s="20"/>
    </row>
    <row r="181" spans="1:4" ht="20.25" x14ac:dyDescent="0.25">
      <c r="A181" s="82"/>
      <c r="B181" s="15"/>
      <c r="C181" s="20"/>
      <c r="D181" s="20"/>
    </row>
    <row r="182" spans="1:4" ht="20.25" x14ac:dyDescent="0.25">
      <c r="A182" s="82"/>
      <c r="B182" s="15"/>
      <c r="C182" s="20"/>
      <c r="D182" s="20"/>
    </row>
    <row r="183" spans="1:4" ht="20.25" x14ac:dyDescent="0.25">
      <c r="A183" s="82"/>
      <c r="B183" s="15"/>
      <c r="C183" s="20"/>
      <c r="D183" s="20"/>
    </row>
    <row r="184" spans="1:4" ht="20.25" x14ac:dyDescent="0.25">
      <c r="A184" s="82"/>
      <c r="B184" s="15"/>
      <c r="C184" s="20"/>
      <c r="D184" s="20"/>
    </row>
    <row r="185" spans="1:4" ht="20.25" x14ac:dyDescent="0.25">
      <c r="A185" s="82"/>
      <c r="B185" s="15"/>
      <c r="C185" s="20"/>
      <c r="D185" s="20"/>
    </row>
    <row r="186" spans="1:4" ht="20.25" x14ac:dyDescent="0.25">
      <c r="A186" s="82"/>
      <c r="B186" s="15"/>
      <c r="C186" s="20"/>
      <c r="D186" s="20"/>
    </row>
    <row r="187" spans="1:4" ht="20.25" x14ac:dyDescent="0.25">
      <c r="A187" s="82"/>
      <c r="B187" s="15"/>
      <c r="C187" s="20"/>
      <c r="D187" s="20"/>
    </row>
    <row r="188" spans="1:4" ht="20.25" x14ac:dyDescent="0.25">
      <c r="A188" s="82"/>
      <c r="B188" s="15"/>
      <c r="C188" s="20"/>
      <c r="D188" s="20"/>
    </row>
    <row r="189" spans="1:4" ht="20.25" x14ac:dyDescent="0.25">
      <c r="A189" s="82"/>
      <c r="B189" s="15"/>
      <c r="C189" s="20"/>
      <c r="D189" s="20"/>
    </row>
    <row r="190" spans="1:4" ht="20.25" x14ac:dyDescent="0.25">
      <c r="A190" s="82"/>
      <c r="B190" s="15"/>
      <c r="C190" s="20"/>
      <c r="D190" s="20"/>
    </row>
    <row r="191" spans="1:4" ht="20.25" x14ac:dyDescent="0.25">
      <c r="A191" s="82"/>
      <c r="B191" s="15"/>
      <c r="C191" s="20"/>
      <c r="D191" s="20"/>
    </row>
    <row r="192" spans="1:4" ht="20.25" x14ac:dyDescent="0.25">
      <c r="A192" s="82"/>
      <c r="B192" s="15"/>
      <c r="C192" s="20"/>
      <c r="D192" s="20"/>
    </row>
    <row r="193" spans="1:4" ht="20.25" x14ac:dyDescent="0.25">
      <c r="A193" s="82"/>
      <c r="B193" s="15"/>
      <c r="C193" s="20"/>
      <c r="D193" s="20"/>
    </row>
    <row r="194" spans="1:4" ht="20.25" x14ac:dyDescent="0.25">
      <c r="A194" s="82"/>
      <c r="B194" s="15"/>
      <c r="C194" s="20"/>
      <c r="D194" s="20"/>
    </row>
    <row r="195" spans="1:4" ht="20.25" x14ac:dyDescent="0.25">
      <c r="A195" s="82"/>
      <c r="B195" s="15"/>
      <c r="C195" s="20"/>
      <c r="D195" s="20"/>
    </row>
    <row r="196" spans="1:4" ht="20.25" x14ac:dyDescent="0.25">
      <c r="A196" s="82"/>
      <c r="B196" s="15"/>
      <c r="C196" s="20"/>
      <c r="D196" s="20"/>
    </row>
    <row r="197" spans="1:4" ht="20.25" x14ac:dyDescent="0.25">
      <c r="A197" s="82"/>
      <c r="B197" s="15"/>
      <c r="C197" s="20"/>
      <c r="D197" s="20"/>
    </row>
    <row r="198" spans="1:4" ht="20.25" x14ac:dyDescent="0.25">
      <c r="A198" s="82"/>
      <c r="B198" s="15"/>
      <c r="C198" s="20"/>
      <c r="D198" s="20"/>
    </row>
    <row r="199" spans="1:4" ht="20.25" x14ac:dyDescent="0.25">
      <c r="A199" s="82"/>
      <c r="B199" s="15"/>
      <c r="C199" s="20"/>
      <c r="D199" s="20"/>
    </row>
    <row r="200" spans="1:4" ht="20.25" x14ac:dyDescent="0.25">
      <c r="A200" s="82"/>
      <c r="B200" s="15"/>
      <c r="C200" s="20"/>
      <c r="D200" s="20"/>
    </row>
    <row r="201" spans="1:4" ht="20.25" x14ac:dyDescent="0.25">
      <c r="A201" s="82"/>
      <c r="B201" s="15"/>
      <c r="C201" s="20"/>
      <c r="D201" s="20"/>
    </row>
    <row r="202" spans="1:4" ht="20.25" x14ac:dyDescent="0.25">
      <c r="A202" s="82"/>
      <c r="B202" s="15"/>
      <c r="C202" s="20"/>
      <c r="D202" s="20"/>
    </row>
    <row r="203" spans="1:4" ht="20.25" x14ac:dyDescent="0.25">
      <c r="A203" s="82"/>
      <c r="B203" s="15"/>
      <c r="C203" s="20"/>
      <c r="D203" s="20"/>
    </row>
    <row r="204" spans="1:4" ht="20.25" x14ac:dyDescent="0.25">
      <c r="A204" s="82"/>
      <c r="B204" s="15"/>
      <c r="C204" s="20"/>
      <c r="D204" s="20"/>
    </row>
    <row r="205" spans="1:4" ht="20.25" x14ac:dyDescent="0.25">
      <c r="A205" s="82"/>
      <c r="B205" s="15"/>
      <c r="C205" s="20"/>
      <c r="D205" s="20"/>
    </row>
    <row r="206" spans="1:4" ht="20.25" x14ac:dyDescent="0.25">
      <c r="A206" s="82"/>
      <c r="B206" s="15"/>
      <c r="C206" s="20"/>
      <c r="D206" s="20"/>
    </row>
    <row r="207" spans="1:4" ht="20.25" x14ac:dyDescent="0.25">
      <c r="A207" s="82"/>
      <c r="B207" s="15"/>
      <c r="C207" s="20"/>
      <c r="D207" s="20"/>
    </row>
    <row r="208" spans="1:4" x14ac:dyDescent="0.25">
      <c r="A208" s="70"/>
      <c r="B208" s="15"/>
      <c r="C208" s="15"/>
      <c r="D208" s="15"/>
    </row>
    <row r="209" spans="1:8" ht="20.25" x14ac:dyDescent="0.25">
      <c r="A209" s="70"/>
      <c r="B209" s="16" t="s">
        <v>86</v>
      </c>
      <c r="C209" s="16" t="s">
        <v>139</v>
      </c>
      <c r="D209" s="19" t="s">
        <v>86</v>
      </c>
      <c r="E209" s="19" t="s">
        <v>139</v>
      </c>
    </row>
    <row r="210" spans="1:8" ht="21" x14ac:dyDescent="0.35">
      <c r="A210" s="70"/>
      <c r="B210" s="17" t="s">
        <v>88</v>
      </c>
      <c r="C210" s="17" t="s">
        <v>56</v>
      </c>
      <c r="D210" t="s">
        <v>88</v>
      </c>
      <c r="F210" t="str">
        <f>IF(NOT(ISBLANK(D210)),D210,IF(NOT(ISBLANK(E210)),"     "&amp;E210,FALSE))</f>
        <v>Afectación Económica o presupuestal</v>
      </c>
      <c r="G210" t="s">
        <v>88</v>
      </c>
      <c r="H210" t="str">
        <f ca="1">IF(NOT(ISERROR(MATCH(G210,_xlfn.ANCHORARRAY(B221),0))),F223&amp;"Por favor no seleccionar los criterios de impacto",G210)</f>
        <v>Afectación Económica o presupuestal</v>
      </c>
    </row>
    <row r="211" spans="1:8" ht="21" x14ac:dyDescent="0.35">
      <c r="A211" s="70"/>
      <c r="B211" s="17" t="s">
        <v>88</v>
      </c>
      <c r="C211" s="17" t="s">
        <v>91</v>
      </c>
      <c r="E211" t="s">
        <v>56</v>
      </c>
      <c r="F211" t="str">
        <f t="shared" ref="F211:F221" si="0">IF(NOT(ISBLANK(D211)),D211,IF(NOT(ISBLANK(E211)),"     "&amp;E211,FALSE))</f>
        <v xml:space="preserve">     Afectación menor a 10 SMLMV .</v>
      </c>
    </row>
    <row r="212" spans="1:8" ht="21" x14ac:dyDescent="0.35">
      <c r="A212" s="70"/>
      <c r="B212" s="17" t="s">
        <v>88</v>
      </c>
      <c r="C212" s="17" t="s">
        <v>92</v>
      </c>
      <c r="E212" t="s">
        <v>91</v>
      </c>
      <c r="F212" t="str">
        <f t="shared" si="0"/>
        <v xml:space="preserve">     Entre 10 y 50 SMLMV </v>
      </c>
    </row>
    <row r="213" spans="1:8" ht="21" x14ac:dyDescent="0.35">
      <c r="A213" s="70"/>
      <c r="B213" s="17" t="s">
        <v>88</v>
      </c>
      <c r="C213" s="17" t="s">
        <v>93</v>
      </c>
      <c r="E213" t="s">
        <v>92</v>
      </c>
      <c r="F213" t="str">
        <f t="shared" si="0"/>
        <v xml:space="preserve">     Entre 50 y 100 SMLMV </v>
      </c>
    </row>
    <row r="214" spans="1:8" ht="21" x14ac:dyDescent="0.35">
      <c r="A214" s="70"/>
      <c r="B214" s="17" t="s">
        <v>88</v>
      </c>
      <c r="C214" s="17" t="s">
        <v>94</v>
      </c>
      <c r="E214" t="s">
        <v>93</v>
      </c>
      <c r="F214" t="str">
        <f t="shared" si="0"/>
        <v xml:space="preserve">     Entre 100 y 500 SMLMV </v>
      </c>
    </row>
    <row r="215" spans="1:8" ht="21" x14ac:dyDescent="0.35">
      <c r="A215" s="70"/>
      <c r="B215" s="17" t="s">
        <v>55</v>
      </c>
      <c r="C215" s="17" t="s">
        <v>95</v>
      </c>
      <c r="E215" t="s">
        <v>94</v>
      </c>
      <c r="F215" t="str">
        <f t="shared" si="0"/>
        <v xml:space="preserve">     Mayor a 500 SMLMV </v>
      </c>
    </row>
    <row r="216" spans="1:8" ht="21" x14ac:dyDescent="0.35">
      <c r="A216" s="70"/>
      <c r="B216" s="17" t="s">
        <v>55</v>
      </c>
      <c r="C216" s="17" t="s">
        <v>96</v>
      </c>
      <c r="D216" t="s">
        <v>55</v>
      </c>
      <c r="F216" t="str">
        <f t="shared" si="0"/>
        <v>Pérdida Reputacional</v>
      </c>
    </row>
    <row r="217" spans="1:8" ht="21" x14ac:dyDescent="0.35">
      <c r="A217" s="70"/>
      <c r="B217" s="17" t="s">
        <v>55</v>
      </c>
      <c r="C217" s="17" t="s">
        <v>98</v>
      </c>
      <c r="E217" t="s">
        <v>95</v>
      </c>
      <c r="F217" t="str">
        <f t="shared" si="0"/>
        <v xml:space="preserve">     El riesgo afecta la imagen de alguna área de la organización</v>
      </c>
    </row>
    <row r="218" spans="1:8" ht="21" x14ac:dyDescent="0.35">
      <c r="A218" s="70"/>
      <c r="B218" s="17" t="s">
        <v>55</v>
      </c>
      <c r="C218" s="17" t="s">
        <v>97</v>
      </c>
      <c r="E218" t="s">
        <v>96</v>
      </c>
      <c r="F218" t="str">
        <f t="shared" si="0"/>
        <v xml:space="preserve">     El riesgo afecta la imagen de la entidad internamente, de conocimiento general, nivel interno, de junta dircetiva y accionistas y/o de provedores</v>
      </c>
    </row>
    <row r="219" spans="1:8" ht="21" x14ac:dyDescent="0.35">
      <c r="A219" s="70"/>
      <c r="B219" s="17" t="s">
        <v>55</v>
      </c>
      <c r="C219" s="17" t="s">
        <v>116</v>
      </c>
      <c r="E219" t="s">
        <v>98</v>
      </c>
      <c r="F219" t="str">
        <f t="shared" si="0"/>
        <v xml:space="preserve">     El riesgo afecta la imagen de la entidad con algunos usuarios de relevancia frente al logro de los objetivos</v>
      </c>
    </row>
    <row r="220" spans="1:8" x14ac:dyDescent="0.25">
      <c r="A220" s="70"/>
      <c r="B220" s="18"/>
      <c r="C220" s="18"/>
      <c r="E220" t="s">
        <v>97</v>
      </c>
      <c r="F220" t="str">
        <f t="shared" si="0"/>
        <v xml:space="preserve">     El riesgo afecta la imagen de de la entidad con efecto publicitario sostenido a nivel de sector administrativo, nivel departamental o municipal</v>
      </c>
    </row>
    <row r="221" spans="1:8" x14ac:dyDescent="0.25">
      <c r="A221" s="70"/>
      <c r="B221" s="18" t="e" cm="1">
        <f t="array" aca="1" ref="B221:B223" ca="1">_xlfn.UNIQUE(Tabla1[[#All],[Criterios]])</f>
        <v>#NAME?</v>
      </c>
      <c r="C221" s="18"/>
      <c r="E221" t="s">
        <v>116</v>
      </c>
      <c r="F221" t="str">
        <f t="shared" si="0"/>
        <v xml:space="preserve">     El riesgo afecta la imagen de la entidad a nivel nacional, con efecto publicitarios sostenible a nivel país</v>
      </c>
    </row>
    <row r="222" spans="1:8" x14ac:dyDescent="0.25">
      <c r="A222" s="70"/>
      <c r="B222" s="18" t="e">
        <f ca="1"/>
        <v>#NAME?</v>
      </c>
      <c r="C222" s="18"/>
    </row>
    <row r="223" spans="1:8" x14ac:dyDescent="0.25">
      <c r="B223" s="18" t="e">
        <f ca="1"/>
        <v>#NAME?</v>
      </c>
      <c r="C223" s="18"/>
      <c r="F223" s="21" t="s">
        <v>141</v>
      </c>
    </row>
    <row r="224" spans="1:8" x14ac:dyDescent="0.25">
      <c r="B224" s="14"/>
      <c r="C224" s="14"/>
      <c r="F224" s="21" t="s">
        <v>142</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7" tint="-0.249977111117893"/>
  </sheetPr>
  <dimension ref="B1:F204"/>
  <sheetViews>
    <sheetView topLeftCell="A86" workbookViewId="0">
      <selection activeCell="D106" sqref="D106"/>
    </sheetView>
  </sheetViews>
  <sheetFormatPr baseColWidth="10" defaultColWidth="14.28515625" defaultRowHeight="12.75" x14ac:dyDescent="0.2"/>
  <cols>
    <col min="1" max="2" width="14.28515625" style="75"/>
    <col min="3" max="3" width="91.5703125" style="75" bestFit="1" customWidth="1"/>
    <col min="4" max="4" width="98.140625" style="75" customWidth="1"/>
    <col min="5" max="5" width="85.140625" style="75" bestFit="1" customWidth="1"/>
    <col min="6" max="16384" width="14.28515625" style="75"/>
  </cols>
  <sheetData>
    <row r="1" spans="2:6" ht="18.75" thickBot="1" x14ac:dyDescent="0.25">
      <c r="B1" s="327" t="s">
        <v>76</v>
      </c>
      <c r="C1" s="328"/>
      <c r="D1" s="328"/>
      <c r="E1" s="328"/>
      <c r="F1" s="329"/>
    </row>
    <row r="2" spans="2:6" ht="16.5" thickBot="1" x14ac:dyDescent="0.3">
      <c r="B2" s="76"/>
      <c r="C2" s="76"/>
      <c r="D2" s="76"/>
      <c r="E2" s="76"/>
      <c r="F2" s="76"/>
    </row>
    <row r="3" spans="2:6" ht="16.5" thickBot="1" x14ac:dyDescent="0.25">
      <c r="B3" s="330" t="s">
        <v>62</v>
      </c>
      <c r="C3" s="331"/>
      <c r="D3" s="331"/>
      <c r="E3" s="122" t="s">
        <v>63</v>
      </c>
      <c r="F3" s="123" t="s">
        <v>64</v>
      </c>
    </row>
    <row r="4" spans="2:6" ht="15.75" x14ac:dyDescent="0.2">
      <c r="B4" s="332" t="s">
        <v>65</v>
      </c>
      <c r="C4" s="335" t="s">
        <v>13</v>
      </c>
      <c r="D4" s="124" t="s">
        <v>14</v>
      </c>
      <c r="E4" s="125" t="s">
        <v>66</v>
      </c>
      <c r="F4" s="126">
        <v>0.25</v>
      </c>
    </row>
    <row r="5" spans="2:6" ht="31.5" x14ac:dyDescent="0.2">
      <c r="B5" s="333"/>
      <c r="C5" s="336"/>
      <c r="D5" s="103" t="s">
        <v>15</v>
      </c>
      <c r="E5" s="77" t="s">
        <v>67</v>
      </c>
      <c r="F5" s="78">
        <v>0.15</v>
      </c>
    </row>
    <row r="6" spans="2:6" ht="31.5" x14ac:dyDescent="0.2">
      <c r="B6" s="333"/>
      <c r="C6" s="336"/>
      <c r="D6" s="103" t="s">
        <v>16</v>
      </c>
      <c r="E6" s="77" t="s">
        <v>68</v>
      </c>
      <c r="F6" s="78">
        <v>0.1</v>
      </c>
    </row>
    <row r="7" spans="2:6" ht="31.5" x14ac:dyDescent="0.2">
      <c r="B7" s="333"/>
      <c r="C7" s="336" t="s">
        <v>17</v>
      </c>
      <c r="D7" s="103" t="s">
        <v>10</v>
      </c>
      <c r="E7" s="77" t="s">
        <v>69</v>
      </c>
      <c r="F7" s="78">
        <v>0.25</v>
      </c>
    </row>
    <row r="8" spans="2:6" ht="16.5" thickBot="1" x14ac:dyDescent="0.25">
      <c r="B8" s="334"/>
      <c r="C8" s="337"/>
      <c r="D8" s="104" t="s">
        <v>9</v>
      </c>
      <c r="E8" s="80" t="s">
        <v>70</v>
      </c>
      <c r="F8" s="127">
        <v>0.15</v>
      </c>
    </row>
    <row r="9" spans="2:6" ht="31.5" x14ac:dyDescent="0.2">
      <c r="B9" s="332" t="s">
        <v>156</v>
      </c>
      <c r="C9" s="335" t="s">
        <v>18</v>
      </c>
      <c r="D9" s="124" t="s">
        <v>19</v>
      </c>
      <c r="E9" s="125" t="s">
        <v>71</v>
      </c>
      <c r="F9" s="128" t="s">
        <v>72</v>
      </c>
    </row>
    <row r="10" spans="2:6" ht="31.5" x14ac:dyDescent="0.2">
      <c r="B10" s="333"/>
      <c r="C10" s="336"/>
      <c r="D10" s="103" t="s">
        <v>20</v>
      </c>
      <c r="E10" s="77" t="s">
        <v>73</v>
      </c>
      <c r="F10" s="79" t="s">
        <v>72</v>
      </c>
    </row>
    <row r="11" spans="2:6" ht="31.5" x14ac:dyDescent="0.2">
      <c r="B11" s="333"/>
      <c r="C11" s="336" t="s">
        <v>21</v>
      </c>
      <c r="D11" s="103" t="s">
        <v>22</v>
      </c>
      <c r="E11" s="77" t="s">
        <v>74</v>
      </c>
      <c r="F11" s="79" t="s">
        <v>72</v>
      </c>
    </row>
    <row r="12" spans="2:6" ht="31.5" x14ac:dyDescent="0.2">
      <c r="B12" s="333"/>
      <c r="C12" s="336"/>
      <c r="D12" s="103" t="s">
        <v>23</v>
      </c>
      <c r="E12" s="77" t="s">
        <v>75</v>
      </c>
      <c r="F12" s="79" t="s">
        <v>72</v>
      </c>
    </row>
    <row r="13" spans="2:6" ht="15.75" x14ac:dyDescent="0.2">
      <c r="B13" s="333"/>
      <c r="C13" s="336" t="s">
        <v>24</v>
      </c>
      <c r="D13" s="103" t="s">
        <v>117</v>
      </c>
      <c r="E13" s="77" t="s">
        <v>120</v>
      </c>
      <c r="F13" s="79" t="s">
        <v>72</v>
      </c>
    </row>
    <row r="14" spans="2:6" ht="16.5" thickBot="1" x14ac:dyDescent="0.25">
      <c r="B14" s="334"/>
      <c r="C14" s="337"/>
      <c r="D14" s="104" t="s">
        <v>118</v>
      </c>
      <c r="E14" s="80" t="s">
        <v>119</v>
      </c>
      <c r="F14" s="81" t="s">
        <v>72</v>
      </c>
    </row>
    <row r="15" spans="2:6" x14ac:dyDescent="0.2">
      <c r="B15" s="324" t="s">
        <v>209</v>
      </c>
      <c r="C15" s="118" t="s">
        <v>210</v>
      </c>
      <c r="D15" s="119"/>
      <c r="E15" s="119"/>
      <c r="F15" s="115"/>
    </row>
    <row r="16" spans="2:6" x14ac:dyDescent="0.2">
      <c r="B16" s="325"/>
      <c r="C16" s="109" t="s">
        <v>211</v>
      </c>
      <c r="D16" s="105"/>
      <c r="E16" s="105"/>
      <c r="F16" s="106"/>
    </row>
    <row r="17" spans="2:6" x14ac:dyDescent="0.2">
      <c r="B17" s="325"/>
      <c r="C17" s="109" t="s">
        <v>212</v>
      </c>
      <c r="D17" s="105"/>
      <c r="E17" s="105"/>
      <c r="F17" s="106"/>
    </row>
    <row r="18" spans="2:6" x14ac:dyDescent="0.2">
      <c r="B18" s="325"/>
      <c r="C18" s="109" t="s">
        <v>213</v>
      </c>
      <c r="D18" s="105"/>
      <c r="E18" s="105"/>
      <c r="F18" s="106"/>
    </row>
    <row r="19" spans="2:6" x14ac:dyDescent="0.2">
      <c r="B19" s="325"/>
      <c r="C19" s="109" t="s">
        <v>214</v>
      </c>
      <c r="D19" s="105"/>
      <c r="E19" s="105"/>
      <c r="F19" s="106"/>
    </row>
    <row r="20" spans="2:6" x14ac:dyDescent="0.2">
      <c r="B20" s="325"/>
      <c r="C20" s="109" t="s">
        <v>215</v>
      </c>
      <c r="D20" s="105"/>
      <c r="E20" s="105"/>
      <c r="F20" s="106"/>
    </row>
    <row r="21" spans="2:6" x14ac:dyDescent="0.2">
      <c r="B21" s="325"/>
      <c r="C21" s="109" t="s">
        <v>216</v>
      </c>
      <c r="D21" s="105"/>
      <c r="E21" s="105"/>
      <c r="F21" s="106"/>
    </row>
    <row r="22" spans="2:6" x14ac:dyDescent="0.2">
      <c r="B22" s="325"/>
      <c r="C22" s="109" t="s">
        <v>217</v>
      </c>
      <c r="D22" s="105"/>
      <c r="E22" s="105"/>
      <c r="F22" s="106"/>
    </row>
    <row r="23" spans="2:6" x14ac:dyDescent="0.2">
      <c r="B23" s="325"/>
      <c r="C23" s="109" t="s">
        <v>218</v>
      </c>
      <c r="D23" s="105"/>
      <c r="E23" s="105"/>
      <c r="F23" s="106"/>
    </row>
    <row r="24" spans="2:6" x14ac:dyDescent="0.2">
      <c r="B24" s="325"/>
      <c r="C24" s="109" t="s">
        <v>282</v>
      </c>
      <c r="D24" s="105"/>
      <c r="E24" s="105"/>
      <c r="F24" s="106"/>
    </row>
    <row r="25" spans="2:6" x14ac:dyDescent="0.2">
      <c r="B25" s="325"/>
      <c r="C25" s="109" t="s">
        <v>219</v>
      </c>
      <c r="D25" s="105"/>
      <c r="E25" s="105"/>
      <c r="F25" s="106"/>
    </row>
    <row r="26" spans="2:6" x14ac:dyDescent="0.2">
      <c r="B26" s="325"/>
      <c r="C26" s="109" t="s">
        <v>220</v>
      </c>
      <c r="D26" s="105"/>
      <c r="E26" s="105"/>
      <c r="F26" s="106"/>
    </row>
    <row r="27" spans="2:6" x14ac:dyDescent="0.2">
      <c r="B27" s="325"/>
      <c r="C27" s="109" t="s">
        <v>221</v>
      </c>
      <c r="D27" s="105"/>
      <c r="E27" s="105"/>
      <c r="F27" s="106"/>
    </row>
    <row r="28" spans="2:6" ht="13.5" thickBot="1" x14ac:dyDescent="0.25">
      <c r="B28" s="338"/>
      <c r="C28" s="110" t="s">
        <v>222</v>
      </c>
      <c r="D28" s="107"/>
      <c r="E28" s="107"/>
      <c r="F28" s="108"/>
    </row>
    <row r="29" spans="2:6" ht="15" x14ac:dyDescent="0.25">
      <c r="B29" s="324" t="s">
        <v>232</v>
      </c>
      <c r="C29" s="114" t="s">
        <v>368</v>
      </c>
      <c r="D29" s="120" t="s">
        <v>232</v>
      </c>
      <c r="E29" s="119"/>
      <c r="F29" s="115"/>
    </row>
    <row r="30" spans="2:6" ht="15.75" x14ac:dyDescent="0.25">
      <c r="B30" s="325"/>
      <c r="C30" s="113" t="s">
        <v>369</v>
      </c>
      <c r="D30" s="105"/>
      <c r="E30" s="105"/>
      <c r="F30" s="116"/>
    </row>
    <row r="31" spans="2:6" ht="15" x14ac:dyDescent="0.25">
      <c r="B31" s="325"/>
      <c r="C31" s="113" t="s">
        <v>370</v>
      </c>
      <c r="D31" s="121" t="s">
        <v>380</v>
      </c>
      <c r="E31" s="105"/>
      <c r="F31" s="106"/>
    </row>
    <row r="32" spans="2:6" ht="15" x14ac:dyDescent="0.25">
      <c r="B32" s="325"/>
      <c r="C32" s="113" t="s">
        <v>371</v>
      </c>
      <c r="D32" s="134" t="s">
        <v>381</v>
      </c>
      <c r="E32" s="105"/>
      <c r="F32" s="106"/>
    </row>
    <row r="33" spans="2:6" ht="15" x14ac:dyDescent="0.25">
      <c r="B33" s="325"/>
      <c r="C33" s="113" t="s">
        <v>372</v>
      </c>
      <c r="D33" s="134" t="s">
        <v>382</v>
      </c>
      <c r="E33" s="105"/>
      <c r="F33" s="106"/>
    </row>
    <row r="34" spans="2:6" ht="15" x14ac:dyDescent="0.25">
      <c r="B34" s="325"/>
      <c r="C34" s="113" t="s">
        <v>373</v>
      </c>
      <c r="D34" s="121" t="s">
        <v>383</v>
      </c>
      <c r="E34" s="105"/>
      <c r="F34" s="106"/>
    </row>
    <row r="35" spans="2:6" ht="15" x14ac:dyDescent="0.25">
      <c r="B35" s="325"/>
      <c r="C35" s="113" t="s">
        <v>374</v>
      </c>
      <c r="D35" s="113" t="s">
        <v>384</v>
      </c>
      <c r="E35" s="105"/>
      <c r="F35" s="106"/>
    </row>
    <row r="36" spans="2:6" ht="15" x14ac:dyDescent="0.25">
      <c r="B36" s="325"/>
      <c r="C36" s="113" t="s">
        <v>530</v>
      </c>
      <c r="D36" s="113" t="s">
        <v>385</v>
      </c>
      <c r="E36" s="105"/>
      <c r="F36" s="106"/>
    </row>
    <row r="37" spans="2:6" ht="15" x14ac:dyDescent="0.25">
      <c r="B37" s="325"/>
      <c r="C37" s="113" t="s">
        <v>376</v>
      </c>
      <c r="D37" s="113" t="s">
        <v>386</v>
      </c>
      <c r="E37" s="105"/>
      <c r="F37" s="106"/>
    </row>
    <row r="38" spans="2:6" ht="15" x14ac:dyDescent="0.25">
      <c r="B38" s="325"/>
      <c r="C38" s="113" t="s">
        <v>481</v>
      </c>
      <c r="D38" s="113" t="s">
        <v>387</v>
      </c>
      <c r="E38" s="105"/>
      <c r="F38" s="106"/>
    </row>
    <row r="39" spans="2:6" ht="15" x14ac:dyDescent="0.25">
      <c r="B39" s="325"/>
      <c r="C39" s="113" t="s">
        <v>377</v>
      </c>
      <c r="D39" s="113" t="s">
        <v>388</v>
      </c>
      <c r="E39" s="105"/>
      <c r="F39" s="106"/>
    </row>
    <row r="40" spans="2:6" ht="15" x14ac:dyDescent="0.25">
      <c r="B40" s="325"/>
      <c r="C40" s="113" t="s">
        <v>378</v>
      </c>
      <c r="D40" s="121" t="s">
        <v>389</v>
      </c>
      <c r="E40" s="105"/>
      <c r="F40" s="106"/>
    </row>
    <row r="41" spans="2:6" ht="15" x14ac:dyDescent="0.25">
      <c r="B41" s="325"/>
      <c r="C41" s="113" t="s">
        <v>529</v>
      </c>
      <c r="D41" s="113" t="s">
        <v>390</v>
      </c>
      <c r="E41" s="105"/>
      <c r="F41" s="106"/>
    </row>
    <row r="42" spans="2:6" ht="15" x14ac:dyDescent="0.25">
      <c r="B42" s="325"/>
      <c r="C42" s="113" t="s">
        <v>379</v>
      </c>
      <c r="D42" s="113" t="s">
        <v>391</v>
      </c>
      <c r="E42" s="105"/>
      <c r="F42" s="106"/>
    </row>
    <row r="43" spans="2:6" ht="15" x14ac:dyDescent="0.25">
      <c r="B43" s="325"/>
      <c r="C43" s="113"/>
      <c r="D43" s="121" t="s">
        <v>392</v>
      </c>
      <c r="E43" s="105"/>
      <c r="F43" s="106"/>
    </row>
    <row r="44" spans="2:6" ht="15.75" thickBot="1" x14ac:dyDescent="0.3">
      <c r="B44" s="325"/>
      <c r="C44" s="113"/>
      <c r="D44" s="113" t="s">
        <v>393</v>
      </c>
      <c r="E44" s="105"/>
      <c r="F44" s="106"/>
    </row>
    <row r="45" spans="2:6" ht="15" x14ac:dyDescent="0.25">
      <c r="B45" s="325"/>
      <c r="C45" s="114" t="s">
        <v>368</v>
      </c>
      <c r="D45" s="113" t="s">
        <v>394</v>
      </c>
      <c r="E45" s="105"/>
      <c r="F45" s="106"/>
    </row>
    <row r="46" spans="2:6" ht="15" x14ac:dyDescent="0.25">
      <c r="B46" s="325"/>
      <c r="C46" s="113" t="s">
        <v>380</v>
      </c>
      <c r="D46" s="121" t="s">
        <v>395</v>
      </c>
      <c r="E46" s="105"/>
      <c r="F46" s="106"/>
    </row>
    <row r="47" spans="2:6" ht="15" x14ac:dyDescent="0.25">
      <c r="B47" s="325"/>
      <c r="C47" s="113"/>
      <c r="D47" s="113" t="s">
        <v>396</v>
      </c>
      <c r="E47" s="105"/>
      <c r="F47" s="106"/>
    </row>
    <row r="48" spans="2:6" ht="15" x14ac:dyDescent="0.25">
      <c r="B48" s="325"/>
      <c r="C48" s="113" t="s">
        <v>369</v>
      </c>
      <c r="D48" s="113" t="s">
        <v>397</v>
      </c>
      <c r="E48" s="105"/>
      <c r="F48" s="106"/>
    </row>
    <row r="49" spans="2:6" ht="15" x14ac:dyDescent="0.25">
      <c r="B49" s="325"/>
      <c r="C49" s="113" t="s">
        <v>383</v>
      </c>
      <c r="D49" s="113" t="s">
        <v>398</v>
      </c>
      <c r="E49" s="105"/>
      <c r="F49" s="106"/>
    </row>
    <row r="50" spans="2:6" ht="15" x14ac:dyDescent="0.25">
      <c r="B50" s="325"/>
      <c r="C50" s="113" t="s">
        <v>389</v>
      </c>
      <c r="D50" s="121" t="s">
        <v>399</v>
      </c>
      <c r="E50" s="105"/>
      <c r="F50" s="106"/>
    </row>
    <row r="51" spans="2:6" ht="15" x14ac:dyDescent="0.25">
      <c r="B51" s="325"/>
      <c r="C51" s="113"/>
      <c r="D51" s="113" t="s">
        <v>400</v>
      </c>
      <c r="E51" s="105"/>
      <c r="F51" s="106"/>
    </row>
    <row r="52" spans="2:6" ht="15" x14ac:dyDescent="0.25">
      <c r="B52" s="325"/>
      <c r="C52" s="113" t="s">
        <v>370</v>
      </c>
      <c r="D52" s="121" t="s">
        <v>401</v>
      </c>
      <c r="E52" s="105"/>
      <c r="F52" s="106"/>
    </row>
    <row r="53" spans="2:6" ht="15" x14ac:dyDescent="0.25">
      <c r="B53" s="325"/>
      <c r="C53" s="113" t="s">
        <v>392</v>
      </c>
      <c r="D53" s="113" t="s">
        <v>402</v>
      </c>
      <c r="E53" s="105"/>
      <c r="F53" s="106"/>
    </row>
    <row r="54" spans="2:6" ht="15" x14ac:dyDescent="0.25">
      <c r="B54" s="325"/>
      <c r="C54" s="113" t="s">
        <v>395</v>
      </c>
      <c r="D54" s="113" t="s">
        <v>403</v>
      </c>
      <c r="E54" s="105"/>
      <c r="F54" s="106"/>
    </row>
    <row r="55" spans="2:6" ht="15" x14ac:dyDescent="0.25">
      <c r="B55" s="325"/>
      <c r="C55" s="113" t="s">
        <v>399</v>
      </c>
      <c r="D55" s="113" t="s">
        <v>404</v>
      </c>
      <c r="E55" s="105"/>
      <c r="F55" s="106"/>
    </row>
    <row r="56" spans="2:6" ht="15" x14ac:dyDescent="0.25">
      <c r="B56" s="325"/>
      <c r="C56" s="113"/>
      <c r="D56" t="s">
        <v>405</v>
      </c>
      <c r="E56" s="105"/>
      <c r="F56" s="106"/>
    </row>
    <row r="57" spans="2:6" ht="15" x14ac:dyDescent="0.25">
      <c r="B57" s="325"/>
      <c r="C57" s="113" t="s">
        <v>371</v>
      </c>
      <c r="D57" s="121" t="s">
        <v>406</v>
      </c>
      <c r="E57" s="105"/>
      <c r="F57" s="106"/>
    </row>
    <row r="58" spans="2:6" ht="15" x14ac:dyDescent="0.25">
      <c r="B58" s="325"/>
      <c r="C58" s="113" t="s">
        <v>401</v>
      </c>
      <c r="D58" s="113" t="s">
        <v>406</v>
      </c>
      <c r="E58" s="105"/>
      <c r="F58" s="106"/>
    </row>
    <row r="59" spans="2:6" ht="15" x14ac:dyDescent="0.25">
      <c r="B59" s="325"/>
      <c r="C59" s="113" t="s">
        <v>406</v>
      </c>
      <c r="D59" s="113" t="s">
        <v>407</v>
      </c>
      <c r="E59" s="105"/>
      <c r="F59" s="106"/>
    </row>
    <row r="60" spans="2:6" ht="15" x14ac:dyDescent="0.25">
      <c r="B60" s="325"/>
      <c r="C60" s="113" t="s">
        <v>409</v>
      </c>
      <c r="D60" s="113" t="s">
        <v>408</v>
      </c>
      <c r="E60" s="105"/>
      <c r="F60" s="106"/>
    </row>
    <row r="61" spans="2:6" ht="15" x14ac:dyDescent="0.25">
      <c r="B61" s="325"/>
      <c r="C61" s="113"/>
      <c r="D61" s="121" t="s">
        <v>409</v>
      </c>
      <c r="E61" s="105"/>
      <c r="F61" s="106"/>
    </row>
    <row r="62" spans="2:6" ht="15" x14ac:dyDescent="0.25">
      <c r="B62" s="325"/>
      <c r="C62" s="113" t="s">
        <v>372</v>
      </c>
      <c r="D62" s="113" t="s">
        <v>410</v>
      </c>
      <c r="E62" s="105"/>
      <c r="F62" s="106"/>
    </row>
    <row r="63" spans="2:6" ht="15" x14ac:dyDescent="0.25">
      <c r="B63" s="325"/>
      <c r="C63" s="113" t="s">
        <v>413</v>
      </c>
      <c r="D63" s="113" t="s">
        <v>411</v>
      </c>
      <c r="E63" s="105"/>
      <c r="F63" s="106"/>
    </row>
    <row r="64" spans="2:6" ht="15" x14ac:dyDescent="0.25">
      <c r="B64" s="325"/>
      <c r="C64" s="113" t="s">
        <v>416</v>
      </c>
      <c r="D64" s="113" t="s">
        <v>412</v>
      </c>
      <c r="E64" s="105"/>
      <c r="F64" s="106"/>
    </row>
    <row r="65" spans="2:6" ht="15" x14ac:dyDescent="0.25">
      <c r="B65" s="325"/>
      <c r="C65" s="113" t="s">
        <v>423</v>
      </c>
      <c r="D65" s="121" t="s">
        <v>413</v>
      </c>
      <c r="E65" s="105"/>
      <c r="F65" s="106"/>
    </row>
    <row r="66" spans="2:6" ht="15" x14ac:dyDescent="0.25">
      <c r="B66" s="325"/>
      <c r="C66" s="113" t="s">
        <v>425</v>
      </c>
      <c r="D66" s="113" t="s">
        <v>414</v>
      </c>
      <c r="E66" s="105"/>
      <c r="F66" s="106"/>
    </row>
    <row r="67" spans="2:6" ht="15" x14ac:dyDescent="0.25">
      <c r="B67" s="325"/>
      <c r="C67" s="113"/>
      <c r="D67" s="113" t="s">
        <v>415</v>
      </c>
      <c r="E67" s="105"/>
      <c r="F67" s="106"/>
    </row>
    <row r="68" spans="2:6" ht="15" x14ac:dyDescent="0.25">
      <c r="B68" s="325"/>
      <c r="C68" s="113" t="s">
        <v>373</v>
      </c>
      <c r="D68" s="121" t="s">
        <v>416</v>
      </c>
      <c r="E68" s="105"/>
      <c r="F68" s="106"/>
    </row>
    <row r="69" spans="2:6" ht="15" x14ac:dyDescent="0.25">
      <c r="B69" s="325"/>
      <c r="C69" s="113" t="s">
        <v>431</v>
      </c>
      <c r="D69" s="113" t="s">
        <v>417</v>
      </c>
      <c r="E69" s="105"/>
      <c r="F69" s="106"/>
    </row>
    <row r="70" spans="2:6" ht="15" x14ac:dyDescent="0.25">
      <c r="B70" s="325"/>
      <c r="C70" s="113"/>
      <c r="D70" s="113" t="s">
        <v>418</v>
      </c>
      <c r="E70" s="105"/>
      <c r="F70" s="106"/>
    </row>
    <row r="71" spans="2:6" ht="15" x14ac:dyDescent="0.25">
      <c r="B71" s="325"/>
      <c r="C71" s="113" t="s">
        <v>374</v>
      </c>
      <c r="D71" s="113" t="s">
        <v>419</v>
      </c>
      <c r="E71" s="105"/>
      <c r="F71" s="106"/>
    </row>
    <row r="72" spans="2:6" ht="15" x14ac:dyDescent="0.25">
      <c r="B72" s="325"/>
      <c r="C72" s="113" t="s">
        <v>434</v>
      </c>
      <c r="D72" s="113" t="s">
        <v>420</v>
      </c>
      <c r="E72" s="105"/>
      <c r="F72" s="106"/>
    </row>
    <row r="73" spans="2:6" ht="15" x14ac:dyDescent="0.25">
      <c r="B73" s="325"/>
      <c r="C73" s="113" t="s">
        <v>441</v>
      </c>
      <c r="D73" s="113" t="s">
        <v>421</v>
      </c>
      <c r="E73" s="105"/>
      <c r="F73" s="106"/>
    </row>
    <row r="74" spans="2:6" ht="15" x14ac:dyDescent="0.25">
      <c r="B74" s="325"/>
      <c r="C74" s="113"/>
      <c r="D74" s="113" t="s">
        <v>422</v>
      </c>
      <c r="E74" s="105"/>
      <c r="F74" s="106"/>
    </row>
    <row r="75" spans="2:6" ht="15" x14ac:dyDescent="0.25">
      <c r="B75" s="325"/>
      <c r="C75" s="113" t="s">
        <v>375</v>
      </c>
      <c r="D75" s="121" t="s">
        <v>423</v>
      </c>
      <c r="E75" s="105"/>
      <c r="F75" s="106"/>
    </row>
    <row r="76" spans="2:6" ht="15" x14ac:dyDescent="0.25">
      <c r="B76" s="325"/>
      <c r="C76" s="113" t="s">
        <v>451</v>
      </c>
      <c r="D76" s="113" t="s">
        <v>424</v>
      </c>
      <c r="E76" s="105"/>
      <c r="F76" s="106"/>
    </row>
    <row r="77" spans="2:6" ht="15" x14ac:dyDescent="0.25">
      <c r="B77" s="325"/>
      <c r="C77" s="113" t="s">
        <v>456</v>
      </c>
      <c r="D77" s="121" t="s">
        <v>425</v>
      </c>
      <c r="E77" s="105"/>
      <c r="F77" s="106"/>
    </row>
    <row r="78" spans="2:6" ht="15" x14ac:dyDescent="0.25">
      <c r="B78" s="325"/>
      <c r="C78" s="113" t="s">
        <v>458</v>
      </c>
      <c r="D78" s="113" t="s">
        <v>426</v>
      </c>
      <c r="E78" s="105"/>
      <c r="F78" s="106"/>
    </row>
    <row r="79" spans="2:6" ht="15" x14ac:dyDescent="0.25">
      <c r="B79" s="325"/>
      <c r="C79" s="113" t="s">
        <v>464</v>
      </c>
      <c r="D79" s="113" t="s">
        <v>427</v>
      </c>
      <c r="E79" s="105"/>
      <c r="F79" s="106"/>
    </row>
    <row r="80" spans="2:6" ht="15" x14ac:dyDescent="0.25">
      <c r="B80" s="325"/>
      <c r="C80" s="113" t="s">
        <v>465</v>
      </c>
      <c r="D80" s="113" t="s">
        <v>428</v>
      </c>
      <c r="E80" s="105"/>
      <c r="F80" s="106"/>
    </row>
    <row r="81" spans="2:6" ht="15" x14ac:dyDescent="0.25">
      <c r="B81" s="325"/>
      <c r="C81" s="113" t="s">
        <v>467</v>
      </c>
      <c r="D81" s="113" t="s">
        <v>429</v>
      </c>
      <c r="E81" s="105"/>
      <c r="F81" s="106"/>
    </row>
    <row r="82" spans="2:6" ht="15" x14ac:dyDescent="0.25">
      <c r="B82" s="325"/>
      <c r="C82" s="113" t="s">
        <v>470</v>
      </c>
      <c r="D82" s="113" t="s">
        <v>430</v>
      </c>
      <c r="E82" s="105"/>
      <c r="F82" s="106"/>
    </row>
    <row r="83" spans="2:6" ht="15" x14ac:dyDescent="0.25">
      <c r="B83" s="325"/>
      <c r="C83" s="113"/>
      <c r="D83" s="121" t="s">
        <v>431</v>
      </c>
      <c r="E83" s="105"/>
      <c r="F83" s="106"/>
    </row>
    <row r="84" spans="2:6" ht="15" x14ac:dyDescent="0.25">
      <c r="B84" s="325"/>
      <c r="C84" s="113" t="s">
        <v>376</v>
      </c>
      <c r="D84" s="113" t="s">
        <v>432</v>
      </c>
      <c r="E84" s="105"/>
      <c r="F84" s="106"/>
    </row>
    <row r="85" spans="2:6" ht="15" x14ac:dyDescent="0.25">
      <c r="B85" s="325"/>
      <c r="C85" s="113" t="s">
        <v>472</v>
      </c>
      <c r="D85" s="113" t="s">
        <v>433</v>
      </c>
      <c r="E85" s="105"/>
      <c r="F85" s="106"/>
    </row>
    <row r="86" spans="2:6" ht="15" x14ac:dyDescent="0.25">
      <c r="B86" s="325"/>
      <c r="C86" s="113" t="s">
        <v>476</v>
      </c>
      <c r="D86" s="121" t="s">
        <v>434</v>
      </c>
      <c r="E86" s="105"/>
      <c r="F86" s="106"/>
    </row>
    <row r="87" spans="2:6" ht="15" x14ac:dyDescent="0.25">
      <c r="B87" s="325"/>
      <c r="C87" s="113"/>
      <c r="D87" s="113" t="s">
        <v>435</v>
      </c>
      <c r="E87" s="105"/>
      <c r="F87" s="106"/>
    </row>
    <row r="88" spans="2:6" ht="15" x14ac:dyDescent="0.25">
      <c r="B88" s="325"/>
      <c r="C88" s="113" t="s">
        <v>481</v>
      </c>
      <c r="D88" s="113" t="s">
        <v>436</v>
      </c>
      <c r="E88" s="105"/>
      <c r="F88" s="106"/>
    </row>
    <row r="89" spans="2:6" ht="15" x14ac:dyDescent="0.25">
      <c r="B89" s="325"/>
      <c r="C89" s="113" t="s">
        <v>482</v>
      </c>
      <c r="D89" s="113" t="s">
        <v>437</v>
      </c>
      <c r="E89" s="105"/>
      <c r="F89" s="106"/>
    </row>
    <row r="90" spans="2:6" ht="15" x14ac:dyDescent="0.25">
      <c r="B90" s="325"/>
      <c r="C90" s="113" t="s">
        <v>486</v>
      </c>
      <c r="D90" s="113" t="s">
        <v>438</v>
      </c>
      <c r="E90" s="105"/>
      <c r="F90" s="106"/>
    </row>
    <row r="91" spans="2:6" ht="15" x14ac:dyDescent="0.25">
      <c r="B91" s="325"/>
      <c r="C91" s="113" t="s">
        <v>496</v>
      </c>
      <c r="D91" s="113" t="s">
        <v>439</v>
      </c>
      <c r="E91" s="105"/>
      <c r="F91" s="106"/>
    </row>
    <row r="92" spans="2:6" ht="15" x14ac:dyDescent="0.25">
      <c r="B92" s="325"/>
      <c r="C92" s="113"/>
      <c r="D92" s="113" t="s">
        <v>440</v>
      </c>
      <c r="E92" s="105"/>
      <c r="F92" s="106"/>
    </row>
    <row r="93" spans="2:6" ht="15" x14ac:dyDescent="0.25">
      <c r="B93" s="325"/>
      <c r="C93" s="113" t="s">
        <v>377</v>
      </c>
      <c r="D93" s="121" t="s">
        <v>441</v>
      </c>
      <c r="E93" s="105"/>
      <c r="F93" s="106"/>
    </row>
    <row r="94" spans="2:6" ht="15" x14ac:dyDescent="0.25">
      <c r="B94" s="325"/>
      <c r="C94" s="113" t="s">
        <v>498</v>
      </c>
      <c r="D94" s="113" t="s">
        <v>442</v>
      </c>
      <c r="E94" s="105"/>
      <c r="F94" s="106"/>
    </row>
    <row r="95" spans="2:6" ht="15" x14ac:dyDescent="0.25">
      <c r="B95" s="325"/>
      <c r="C95" s="113" t="s">
        <v>502</v>
      </c>
      <c r="D95" s="113" t="s">
        <v>443</v>
      </c>
      <c r="E95" s="105"/>
      <c r="F95" s="106"/>
    </row>
    <row r="96" spans="2:6" ht="15" x14ac:dyDescent="0.25">
      <c r="B96" s="325"/>
      <c r="C96" s="113"/>
      <c r="D96" s="113" t="s">
        <v>444</v>
      </c>
      <c r="E96" s="105"/>
      <c r="F96" s="106"/>
    </row>
    <row r="97" spans="2:6" ht="15" x14ac:dyDescent="0.25">
      <c r="B97" s="325"/>
      <c r="C97" s="113" t="s">
        <v>378</v>
      </c>
      <c r="D97" s="113" t="s">
        <v>445</v>
      </c>
      <c r="E97" s="105"/>
      <c r="F97" s="106"/>
    </row>
    <row r="98" spans="2:6" ht="15" x14ac:dyDescent="0.25">
      <c r="B98" s="325"/>
      <c r="C98" s="113" t="s">
        <v>505</v>
      </c>
      <c r="D98" s="113" t="s">
        <v>446</v>
      </c>
      <c r="E98" s="105"/>
      <c r="F98" s="106"/>
    </row>
    <row r="99" spans="2:6" ht="15" x14ac:dyDescent="0.25">
      <c r="B99" s="325"/>
      <c r="C99" s="113"/>
      <c r="D99" s="113" t="s">
        <v>447</v>
      </c>
      <c r="E99" s="105"/>
      <c r="F99" s="106"/>
    </row>
    <row r="100" spans="2:6" ht="15" x14ac:dyDescent="0.25">
      <c r="B100" s="325"/>
      <c r="C100" s="113" t="s">
        <v>529</v>
      </c>
      <c r="D100" s="113" t="s">
        <v>448</v>
      </c>
      <c r="E100" s="105"/>
      <c r="F100" s="106"/>
    </row>
    <row r="101" spans="2:6" ht="15" x14ac:dyDescent="0.25">
      <c r="B101" s="325"/>
      <c r="C101" s="113" t="s">
        <v>513</v>
      </c>
      <c r="D101" s="113" t="s">
        <v>449</v>
      </c>
      <c r="E101" s="105"/>
      <c r="F101" s="106"/>
    </row>
    <row r="102" spans="2:6" ht="15" x14ac:dyDescent="0.25">
      <c r="B102" s="325"/>
      <c r="C102" s="113" t="s">
        <v>517</v>
      </c>
      <c r="D102" s="113" t="s">
        <v>450</v>
      </c>
      <c r="E102" s="105"/>
      <c r="F102" s="106"/>
    </row>
    <row r="103" spans="2:6" ht="15" x14ac:dyDescent="0.25">
      <c r="B103" s="325"/>
      <c r="C103" s="113"/>
      <c r="D103" s="121" t="s">
        <v>451</v>
      </c>
      <c r="E103" s="105"/>
      <c r="F103" s="106"/>
    </row>
    <row r="104" spans="2:6" ht="15" x14ac:dyDescent="0.25">
      <c r="B104" s="325"/>
      <c r="C104" s="113" t="s">
        <v>379</v>
      </c>
      <c r="D104" s="113" t="s">
        <v>452</v>
      </c>
      <c r="E104" s="105"/>
      <c r="F104" s="106"/>
    </row>
    <row r="105" spans="2:6" ht="15" x14ac:dyDescent="0.25">
      <c r="B105" s="325"/>
      <c r="C105" s="113" t="s">
        <v>519</v>
      </c>
      <c r="D105" s="113" t="s">
        <v>453</v>
      </c>
      <c r="E105" s="105"/>
      <c r="F105" s="106"/>
    </row>
    <row r="106" spans="2:6" ht="15" x14ac:dyDescent="0.25">
      <c r="B106" s="325"/>
      <c r="C106" s="113"/>
      <c r="D106" s="113" t="s">
        <v>454</v>
      </c>
      <c r="E106" s="105"/>
      <c r="F106" s="106"/>
    </row>
    <row r="107" spans="2:6" ht="15" x14ac:dyDescent="0.25">
      <c r="B107" s="325"/>
      <c r="C107" s="113"/>
      <c r="D107" s="113" t="s">
        <v>455</v>
      </c>
      <c r="E107" s="105"/>
      <c r="F107" s="106"/>
    </row>
    <row r="108" spans="2:6" ht="15" x14ac:dyDescent="0.25">
      <c r="B108" s="325"/>
      <c r="C108" s="113"/>
      <c r="D108" s="121" t="s">
        <v>456</v>
      </c>
      <c r="E108" s="105"/>
      <c r="F108" s="106"/>
    </row>
    <row r="109" spans="2:6" ht="15" x14ac:dyDescent="0.25">
      <c r="B109" s="325"/>
      <c r="C109" s="113"/>
      <c r="D109" s="113" t="s">
        <v>457</v>
      </c>
      <c r="E109" s="105"/>
      <c r="F109" s="106"/>
    </row>
    <row r="110" spans="2:6" ht="15" x14ac:dyDescent="0.25">
      <c r="B110" s="325"/>
      <c r="C110" s="113"/>
      <c r="D110" s="121" t="s">
        <v>458</v>
      </c>
      <c r="E110" s="105"/>
      <c r="F110" s="106"/>
    </row>
    <row r="111" spans="2:6" ht="15" x14ac:dyDescent="0.25">
      <c r="B111" s="325"/>
      <c r="C111" s="113"/>
      <c r="D111" s="113" t="s">
        <v>459</v>
      </c>
      <c r="E111" s="105"/>
      <c r="F111" s="106"/>
    </row>
    <row r="112" spans="2:6" ht="15" x14ac:dyDescent="0.25">
      <c r="B112" s="325"/>
      <c r="C112" s="113"/>
      <c r="D112" s="121" t="s">
        <v>464</v>
      </c>
      <c r="E112" s="105"/>
      <c r="F112" s="106"/>
    </row>
    <row r="113" spans="2:6" ht="15" x14ac:dyDescent="0.25">
      <c r="B113" s="325"/>
      <c r="C113" s="113"/>
      <c r="D113" s="113" t="s">
        <v>460</v>
      </c>
      <c r="E113" s="105"/>
      <c r="F113" s="106"/>
    </row>
    <row r="114" spans="2:6" ht="15" x14ac:dyDescent="0.25">
      <c r="B114" s="325"/>
      <c r="C114" s="113"/>
      <c r="D114" s="113" t="s">
        <v>461</v>
      </c>
      <c r="E114" s="105"/>
      <c r="F114" s="106"/>
    </row>
    <row r="115" spans="2:6" ht="15" x14ac:dyDescent="0.25">
      <c r="B115" s="325"/>
      <c r="C115" s="113"/>
      <c r="D115" s="113" t="s">
        <v>462</v>
      </c>
      <c r="E115" s="105"/>
      <c r="F115" s="106"/>
    </row>
    <row r="116" spans="2:6" ht="15" x14ac:dyDescent="0.25">
      <c r="B116" s="325"/>
      <c r="C116" s="113"/>
      <c r="D116" s="113" t="s">
        <v>463</v>
      </c>
      <c r="E116" s="105"/>
      <c r="F116" s="106"/>
    </row>
    <row r="117" spans="2:6" ht="15" x14ac:dyDescent="0.25">
      <c r="B117" s="325"/>
      <c r="C117" s="113"/>
      <c r="D117" s="121" t="s">
        <v>465</v>
      </c>
      <c r="E117" s="105"/>
      <c r="F117" s="106"/>
    </row>
    <row r="118" spans="2:6" ht="15" x14ac:dyDescent="0.25">
      <c r="B118" s="325"/>
      <c r="C118" s="113"/>
      <c r="D118" s="113" t="s">
        <v>466</v>
      </c>
      <c r="E118" s="105"/>
      <c r="F118" s="106"/>
    </row>
    <row r="119" spans="2:6" ht="15" x14ac:dyDescent="0.25">
      <c r="B119" s="325"/>
      <c r="C119" s="113"/>
      <c r="D119" s="121" t="s">
        <v>467</v>
      </c>
      <c r="E119" s="105"/>
      <c r="F119" s="106"/>
    </row>
    <row r="120" spans="2:6" ht="15" x14ac:dyDescent="0.25">
      <c r="B120" s="325"/>
      <c r="C120" s="113"/>
      <c r="D120" s="113" t="s">
        <v>468</v>
      </c>
      <c r="E120" s="105"/>
      <c r="F120" s="106"/>
    </row>
    <row r="121" spans="2:6" ht="15" x14ac:dyDescent="0.25">
      <c r="B121" s="325"/>
      <c r="C121" s="113"/>
      <c r="D121" t="s">
        <v>469</v>
      </c>
      <c r="E121" s="105"/>
      <c r="F121" s="106"/>
    </row>
    <row r="122" spans="2:6" ht="15" x14ac:dyDescent="0.25">
      <c r="B122" s="325"/>
      <c r="C122" s="113"/>
      <c r="D122" s="121" t="s">
        <v>470</v>
      </c>
      <c r="E122" s="105"/>
      <c r="F122" s="106"/>
    </row>
    <row r="123" spans="2:6" ht="15" x14ac:dyDescent="0.25">
      <c r="B123" s="325"/>
      <c r="C123" s="113"/>
      <c r="D123" s="113" t="s">
        <v>471</v>
      </c>
      <c r="E123" s="105"/>
      <c r="F123" s="106"/>
    </row>
    <row r="124" spans="2:6" ht="15" x14ac:dyDescent="0.25">
      <c r="B124" s="325"/>
      <c r="C124" s="113"/>
      <c r="D124" s="121" t="s">
        <v>472</v>
      </c>
      <c r="E124" s="105"/>
      <c r="F124" s="106"/>
    </row>
    <row r="125" spans="2:6" ht="15" x14ac:dyDescent="0.25">
      <c r="B125" s="325"/>
      <c r="C125" s="113"/>
      <c r="D125" s="113" t="s">
        <v>473</v>
      </c>
      <c r="E125" s="105"/>
      <c r="F125" s="106"/>
    </row>
    <row r="126" spans="2:6" ht="15" x14ac:dyDescent="0.25">
      <c r="B126" s="325"/>
      <c r="C126" s="113"/>
      <c r="D126" s="113" t="s">
        <v>474</v>
      </c>
      <c r="E126" s="105"/>
      <c r="F126" s="106"/>
    </row>
    <row r="127" spans="2:6" ht="15" x14ac:dyDescent="0.25">
      <c r="B127" s="325"/>
      <c r="C127" s="113"/>
      <c r="D127" s="113" t="s">
        <v>475</v>
      </c>
      <c r="E127" s="105"/>
      <c r="F127" s="106"/>
    </row>
    <row r="128" spans="2:6" ht="15" x14ac:dyDescent="0.25">
      <c r="B128" s="325"/>
      <c r="C128" s="113"/>
      <c r="D128" s="121" t="s">
        <v>476</v>
      </c>
      <c r="E128" s="105"/>
      <c r="F128" s="106"/>
    </row>
    <row r="129" spans="2:6" ht="15" x14ac:dyDescent="0.25">
      <c r="B129" s="325"/>
      <c r="C129" s="113"/>
      <c r="D129" s="113" t="s">
        <v>477</v>
      </c>
      <c r="E129" s="105"/>
      <c r="F129" s="106"/>
    </row>
    <row r="130" spans="2:6" ht="15" x14ac:dyDescent="0.25">
      <c r="B130" s="325"/>
      <c r="C130" s="113"/>
      <c r="D130" s="113" t="s">
        <v>478</v>
      </c>
      <c r="E130" s="105"/>
      <c r="F130" s="106"/>
    </row>
    <row r="131" spans="2:6" ht="15" x14ac:dyDescent="0.25">
      <c r="B131" s="325"/>
      <c r="C131" s="113"/>
      <c r="D131" s="113" t="s">
        <v>479</v>
      </c>
      <c r="E131" s="105"/>
      <c r="F131" s="106"/>
    </row>
    <row r="132" spans="2:6" ht="15" x14ac:dyDescent="0.25">
      <c r="B132" s="325"/>
      <c r="C132" s="113"/>
      <c r="D132" s="113" t="s">
        <v>480</v>
      </c>
      <c r="E132" s="105"/>
      <c r="F132" s="106"/>
    </row>
    <row r="133" spans="2:6" ht="15" x14ac:dyDescent="0.25">
      <c r="B133" s="325"/>
      <c r="C133" s="113"/>
      <c r="D133" s="121" t="s">
        <v>482</v>
      </c>
      <c r="E133" s="105"/>
      <c r="F133" s="106"/>
    </row>
    <row r="134" spans="2:6" ht="15" x14ac:dyDescent="0.25">
      <c r="B134" s="325"/>
      <c r="C134" s="113"/>
      <c r="D134" s="113" t="s">
        <v>483</v>
      </c>
      <c r="E134" s="105"/>
      <c r="F134" s="106"/>
    </row>
    <row r="135" spans="2:6" ht="15" x14ac:dyDescent="0.25">
      <c r="B135" s="325"/>
      <c r="C135" s="113"/>
      <c r="D135" s="113" t="s">
        <v>484</v>
      </c>
      <c r="E135" s="105"/>
      <c r="F135" s="106"/>
    </row>
    <row r="136" spans="2:6" ht="15" x14ac:dyDescent="0.25">
      <c r="B136" s="325"/>
      <c r="C136" s="113"/>
      <c r="D136" s="113" t="s">
        <v>485</v>
      </c>
      <c r="E136" s="105"/>
      <c r="F136" s="106"/>
    </row>
    <row r="137" spans="2:6" ht="15" x14ac:dyDescent="0.25">
      <c r="B137" s="325"/>
      <c r="C137" s="113"/>
      <c r="D137" s="121" t="s">
        <v>486</v>
      </c>
      <c r="E137" s="105"/>
      <c r="F137" s="106"/>
    </row>
    <row r="138" spans="2:6" ht="15" x14ac:dyDescent="0.25">
      <c r="B138" s="325"/>
      <c r="C138" s="113"/>
      <c r="D138" s="113" t="s">
        <v>487</v>
      </c>
      <c r="E138" s="105"/>
      <c r="F138" s="106"/>
    </row>
    <row r="139" spans="2:6" ht="15" x14ac:dyDescent="0.25">
      <c r="B139" s="325"/>
      <c r="C139" s="113"/>
      <c r="D139" s="134" t="s">
        <v>488</v>
      </c>
      <c r="E139" s="105"/>
      <c r="F139" s="106"/>
    </row>
    <row r="140" spans="2:6" ht="15" x14ac:dyDescent="0.25">
      <c r="B140" s="325"/>
      <c r="C140" s="113"/>
      <c r="D140" s="113" t="s">
        <v>489</v>
      </c>
      <c r="E140" s="105"/>
      <c r="F140" s="106"/>
    </row>
    <row r="141" spans="2:6" ht="15" x14ac:dyDescent="0.25">
      <c r="B141" s="325"/>
      <c r="C141" s="113"/>
      <c r="D141" s="113" t="s">
        <v>490</v>
      </c>
      <c r="E141" s="105"/>
      <c r="F141" s="106"/>
    </row>
    <row r="142" spans="2:6" ht="15" x14ac:dyDescent="0.25">
      <c r="B142" s="325"/>
      <c r="C142" s="113"/>
      <c r="D142" s="113" t="s">
        <v>491</v>
      </c>
      <c r="E142" s="105"/>
      <c r="F142" s="106"/>
    </row>
    <row r="143" spans="2:6" ht="15" x14ac:dyDescent="0.25">
      <c r="B143" s="325"/>
      <c r="C143" s="113"/>
      <c r="D143" s="113" t="s">
        <v>492</v>
      </c>
      <c r="E143" s="105"/>
      <c r="F143" s="106"/>
    </row>
    <row r="144" spans="2:6" ht="15" x14ac:dyDescent="0.25">
      <c r="B144" s="325"/>
      <c r="C144" s="113"/>
      <c r="D144" s="113" t="s">
        <v>493</v>
      </c>
      <c r="E144" s="105"/>
      <c r="F144" s="106"/>
    </row>
    <row r="145" spans="2:6" ht="15" x14ac:dyDescent="0.25">
      <c r="B145" s="325"/>
      <c r="C145" s="113"/>
      <c r="D145" s="113" t="s">
        <v>494</v>
      </c>
      <c r="E145" s="105"/>
      <c r="F145" s="106"/>
    </row>
    <row r="146" spans="2:6" ht="15" x14ac:dyDescent="0.25">
      <c r="B146" s="325"/>
      <c r="C146" s="113"/>
      <c r="D146" s="113" t="s">
        <v>495</v>
      </c>
      <c r="E146" s="105"/>
      <c r="F146" s="106"/>
    </row>
    <row r="147" spans="2:6" ht="15" x14ac:dyDescent="0.25">
      <c r="B147" s="325"/>
      <c r="C147" s="113"/>
      <c r="D147" s="121" t="s">
        <v>496</v>
      </c>
      <c r="E147" s="105"/>
      <c r="F147" s="106"/>
    </row>
    <row r="148" spans="2:6" ht="15" x14ac:dyDescent="0.25">
      <c r="B148" s="325"/>
      <c r="C148" s="113"/>
      <c r="D148" s="113" t="s">
        <v>497</v>
      </c>
      <c r="E148" s="105"/>
      <c r="F148" s="106"/>
    </row>
    <row r="149" spans="2:6" ht="15" x14ac:dyDescent="0.25">
      <c r="B149" s="325"/>
      <c r="C149" s="113"/>
      <c r="D149" s="121" t="s">
        <v>498</v>
      </c>
      <c r="E149" s="105"/>
      <c r="F149" s="106"/>
    </row>
    <row r="150" spans="2:6" ht="15" x14ac:dyDescent="0.25">
      <c r="B150" s="325"/>
      <c r="C150" s="113"/>
      <c r="D150" s="113" t="s">
        <v>499</v>
      </c>
      <c r="E150" s="105"/>
      <c r="F150" s="106"/>
    </row>
    <row r="151" spans="2:6" ht="15" x14ac:dyDescent="0.25">
      <c r="B151" s="325"/>
      <c r="C151" s="113"/>
      <c r="D151" s="113" t="s">
        <v>500</v>
      </c>
      <c r="E151" s="105"/>
      <c r="F151" s="106"/>
    </row>
    <row r="152" spans="2:6" ht="15" x14ac:dyDescent="0.25">
      <c r="B152" s="325"/>
      <c r="C152" s="113"/>
      <c r="D152" s="113" t="s">
        <v>501</v>
      </c>
      <c r="E152" s="105"/>
      <c r="F152" s="106"/>
    </row>
    <row r="153" spans="2:6" ht="15" x14ac:dyDescent="0.25">
      <c r="B153" s="325"/>
      <c r="C153" s="113"/>
      <c r="D153" s="121" t="s">
        <v>502</v>
      </c>
      <c r="E153" s="105"/>
      <c r="F153" s="106"/>
    </row>
    <row r="154" spans="2:6" ht="15" x14ac:dyDescent="0.25">
      <c r="B154" s="325"/>
      <c r="C154" s="113"/>
      <c r="D154" s="113" t="s">
        <v>503</v>
      </c>
      <c r="E154" s="105"/>
      <c r="F154" s="106"/>
    </row>
    <row r="155" spans="2:6" ht="15" x14ac:dyDescent="0.25">
      <c r="B155" s="325"/>
      <c r="C155" s="113"/>
      <c r="D155" s="113" t="s">
        <v>504</v>
      </c>
      <c r="E155" s="105"/>
      <c r="F155" s="106"/>
    </row>
    <row r="156" spans="2:6" ht="15" x14ac:dyDescent="0.25">
      <c r="B156" s="325"/>
      <c r="C156" s="113"/>
      <c r="D156" s="121" t="s">
        <v>505</v>
      </c>
      <c r="E156" s="105"/>
      <c r="F156" s="106"/>
    </row>
    <row r="157" spans="2:6" ht="15" x14ac:dyDescent="0.25">
      <c r="B157" s="325"/>
      <c r="C157" s="113"/>
      <c r="D157" s="113" t="s">
        <v>506</v>
      </c>
      <c r="E157" s="105"/>
      <c r="F157" s="106"/>
    </row>
    <row r="158" spans="2:6" ht="15" x14ac:dyDescent="0.25">
      <c r="B158" s="325"/>
      <c r="C158" s="113"/>
      <c r="D158" s="113" t="s">
        <v>507</v>
      </c>
      <c r="E158" s="105"/>
      <c r="F158" s="106"/>
    </row>
    <row r="159" spans="2:6" ht="15" x14ac:dyDescent="0.25">
      <c r="B159" s="325"/>
      <c r="C159" s="113"/>
      <c r="D159" s="113" t="s">
        <v>508</v>
      </c>
      <c r="E159" s="105"/>
      <c r="F159" s="106"/>
    </row>
    <row r="160" spans="2:6" ht="15" x14ac:dyDescent="0.25">
      <c r="B160" s="325"/>
      <c r="C160" s="113"/>
      <c r="D160" s="113" t="s">
        <v>509</v>
      </c>
      <c r="E160" s="105"/>
      <c r="F160" s="106"/>
    </row>
    <row r="161" spans="2:6" ht="15" x14ac:dyDescent="0.25">
      <c r="B161" s="325"/>
      <c r="C161" s="113"/>
      <c r="D161" s="134" t="s">
        <v>510</v>
      </c>
      <c r="E161" s="105"/>
      <c r="F161" s="106"/>
    </row>
    <row r="162" spans="2:6" ht="15" x14ac:dyDescent="0.25">
      <c r="B162" s="325"/>
      <c r="C162" s="113"/>
      <c r="D162" s="113" t="s">
        <v>511</v>
      </c>
      <c r="E162" s="105"/>
      <c r="F162" s="106"/>
    </row>
    <row r="163" spans="2:6" ht="15" x14ac:dyDescent="0.25">
      <c r="B163" s="325"/>
      <c r="C163" s="113"/>
      <c r="D163" s="113" t="s">
        <v>512</v>
      </c>
      <c r="E163" s="105"/>
      <c r="F163" s="106"/>
    </row>
    <row r="164" spans="2:6" ht="15" x14ac:dyDescent="0.25">
      <c r="B164" s="325"/>
      <c r="C164" s="113"/>
      <c r="D164" s="121" t="s">
        <v>513</v>
      </c>
      <c r="E164" s="105"/>
      <c r="F164" s="106"/>
    </row>
    <row r="165" spans="2:6" ht="15" x14ac:dyDescent="0.25">
      <c r="B165" s="325"/>
      <c r="C165" s="113"/>
      <c r="D165" s="113" t="s">
        <v>514</v>
      </c>
      <c r="E165" s="105"/>
      <c r="F165" s="106"/>
    </row>
    <row r="166" spans="2:6" ht="15" x14ac:dyDescent="0.25">
      <c r="B166" s="325"/>
      <c r="C166" s="113"/>
      <c r="D166" s="113" t="s">
        <v>515</v>
      </c>
      <c r="E166" s="105"/>
      <c r="F166" s="106"/>
    </row>
    <row r="167" spans="2:6" ht="15" x14ac:dyDescent="0.25">
      <c r="B167" s="325"/>
      <c r="C167" s="113"/>
      <c r="D167" s="113" t="s">
        <v>516</v>
      </c>
      <c r="E167" s="105"/>
      <c r="F167" s="106"/>
    </row>
    <row r="168" spans="2:6" ht="15" x14ac:dyDescent="0.25">
      <c r="B168" s="325"/>
      <c r="C168" s="113"/>
      <c r="D168" s="121" t="s">
        <v>517</v>
      </c>
      <c r="E168" s="105"/>
      <c r="F168" s="106"/>
    </row>
    <row r="169" spans="2:6" ht="15" x14ac:dyDescent="0.25">
      <c r="B169" s="325"/>
      <c r="C169" s="113"/>
      <c r="D169" s="113" t="s">
        <v>518</v>
      </c>
      <c r="E169" s="105"/>
      <c r="F169" s="106"/>
    </row>
    <row r="170" spans="2:6" ht="15" x14ac:dyDescent="0.25">
      <c r="B170" s="325"/>
      <c r="C170" s="113"/>
      <c r="D170" s="121" t="s">
        <v>519</v>
      </c>
      <c r="E170" s="105"/>
      <c r="F170" s="106"/>
    </row>
    <row r="171" spans="2:6" ht="15" x14ac:dyDescent="0.25">
      <c r="B171" s="325"/>
      <c r="C171" s="113"/>
      <c r="D171" s="113" t="s">
        <v>520</v>
      </c>
      <c r="E171" s="105"/>
      <c r="F171" s="106"/>
    </row>
    <row r="172" spans="2:6" ht="15" x14ac:dyDescent="0.25">
      <c r="B172" s="325"/>
      <c r="C172" s="113"/>
      <c r="D172" s="113" t="s">
        <v>521</v>
      </c>
      <c r="E172" s="105"/>
      <c r="F172" s="106"/>
    </row>
    <row r="173" spans="2:6" ht="15" x14ac:dyDescent="0.25">
      <c r="B173" s="325"/>
      <c r="C173" s="113"/>
      <c r="D173" s="113" t="s">
        <v>522</v>
      </c>
      <c r="E173" s="105"/>
      <c r="F173" s="106"/>
    </row>
    <row r="174" spans="2:6" ht="15" x14ac:dyDescent="0.25">
      <c r="B174" s="325"/>
      <c r="C174" s="113"/>
      <c r="D174" s="113" t="s">
        <v>523</v>
      </c>
      <c r="E174" s="105"/>
      <c r="F174" s="106"/>
    </row>
    <row r="175" spans="2:6" ht="15" x14ac:dyDescent="0.25">
      <c r="B175" s="325"/>
      <c r="C175" s="113"/>
      <c r="D175" s="113" t="s">
        <v>524</v>
      </c>
      <c r="E175" s="105"/>
      <c r="F175" s="106"/>
    </row>
    <row r="176" spans="2:6" ht="15" x14ac:dyDescent="0.25">
      <c r="B176" s="325"/>
      <c r="C176" s="113"/>
      <c r="D176" s="121" t="s">
        <v>525</v>
      </c>
      <c r="E176" s="105"/>
      <c r="F176" s="106"/>
    </row>
    <row r="177" spans="2:6" ht="15" x14ac:dyDescent="0.25">
      <c r="B177" s="325"/>
      <c r="C177" s="113"/>
      <c r="D177" s="113" t="s">
        <v>526</v>
      </c>
      <c r="E177" s="105"/>
      <c r="F177" s="106"/>
    </row>
    <row r="178" spans="2:6" ht="15" x14ac:dyDescent="0.25">
      <c r="B178" s="325"/>
      <c r="C178" s="113"/>
      <c r="D178" s="113" t="s">
        <v>527</v>
      </c>
      <c r="E178" s="105"/>
      <c r="F178" s="106"/>
    </row>
    <row r="179" spans="2:6" ht="15" x14ac:dyDescent="0.25">
      <c r="B179" s="325"/>
      <c r="C179" s="113"/>
      <c r="D179" s="113" t="s">
        <v>528</v>
      </c>
      <c r="E179" s="105"/>
      <c r="F179" s="106"/>
    </row>
    <row r="180" spans="2:6" ht="15" x14ac:dyDescent="0.25">
      <c r="B180" s="325"/>
      <c r="C180" s="113"/>
      <c r="D180" s="105"/>
      <c r="E180" s="105"/>
      <c r="F180" s="106"/>
    </row>
    <row r="181" spans="2:6" ht="15.75" thickBot="1" x14ac:dyDescent="0.3">
      <c r="B181" s="326"/>
      <c r="C181" s="130"/>
      <c r="D181" s="130"/>
      <c r="E181" s="131"/>
      <c r="F181" s="132"/>
    </row>
    <row r="182" spans="2:6" ht="15" x14ac:dyDescent="0.25">
      <c r="B182" s="324" t="s">
        <v>233</v>
      </c>
      <c r="C182" s="114" t="s">
        <v>234</v>
      </c>
      <c r="D182" s="114"/>
      <c r="E182" s="135"/>
      <c r="F182" s="115"/>
    </row>
    <row r="183" spans="2:6" ht="15" x14ac:dyDescent="0.25">
      <c r="B183" s="325"/>
      <c r="C183" s="113" t="s">
        <v>235</v>
      </c>
      <c r="D183" s="113"/>
      <c r="E183" s="133"/>
      <c r="F183" s="106"/>
    </row>
    <row r="184" spans="2:6" ht="15" x14ac:dyDescent="0.25">
      <c r="B184" s="325"/>
      <c r="C184" s="113" t="s">
        <v>237</v>
      </c>
      <c r="D184" s="113"/>
      <c r="E184" s="133"/>
      <c r="F184" s="106"/>
    </row>
    <row r="185" spans="2:6" ht="15" x14ac:dyDescent="0.25">
      <c r="B185" s="325"/>
      <c r="C185" s="133" t="s">
        <v>238</v>
      </c>
      <c r="D185" s="113"/>
      <c r="E185" s="133"/>
      <c r="F185" s="106"/>
    </row>
    <row r="186" spans="2:6" ht="15" x14ac:dyDescent="0.25">
      <c r="B186" s="325"/>
      <c r="C186" s="133" t="s">
        <v>239</v>
      </c>
      <c r="D186" s="113"/>
      <c r="E186" s="133"/>
      <c r="F186" s="106"/>
    </row>
    <row r="187" spans="2:6" ht="15" x14ac:dyDescent="0.25">
      <c r="B187" s="325"/>
      <c r="C187" s="133" t="s">
        <v>236</v>
      </c>
      <c r="D187" s="113"/>
      <c r="E187" s="133"/>
      <c r="F187" s="106"/>
    </row>
    <row r="188" spans="2:6" ht="15" x14ac:dyDescent="0.25">
      <c r="B188" s="325"/>
      <c r="C188" s="133" t="s">
        <v>240</v>
      </c>
      <c r="D188" s="113"/>
      <c r="E188" s="133"/>
      <c r="F188" s="106"/>
    </row>
    <row r="189" spans="2:6" ht="15" x14ac:dyDescent="0.25">
      <c r="B189" s="325"/>
      <c r="C189" s="133" t="s">
        <v>241</v>
      </c>
      <c r="D189" s="113"/>
      <c r="E189" s="133"/>
      <c r="F189" s="106"/>
    </row>
    <row r="190" spans="2:6" ht="15" x14ac:dyDescent="0.25">
      <c r="B190" s="325"/>
      <c r="C190" s="133" t="s">
        <v>242</v>
      </c>
      <c r="D190" s="113"/>
      <c r="E190" s="133"/>
      <c r="F190" s="106"/>
    </row>
    <row r="191" spans="2:6" ht="15" x14ac:dyDescent="0.25">
      <c r="B191" s="325"/>
      <c r="C191" s="133" t="s">
        <v>243</v>
      </c>
      <c r="D191" s="113"/>
      <c r="E191" s="133"/>
      <c r="F191" s="106"/>
    </row>
    <row r="192" spans="2:6" ht="15" x14ac:dyDescent="0.25">
      <c r="B192" s="325"/>
      <c r="C192" s="133" t="s">
        <v>244</v>
      </c>
      <c r="D192" s="113"/>
      <c r="E192" s="133"/>
      <c r="F192" s="106"/>
    </row>
    <row r="193" spans="2:6" ht="30" x14ac:dyDescent="0.25">
      <c r="B193" s="325"/>
      <c r="C193" s="134" t="s">
        <v>245</v>
      </c>
      <c r="D193" s="113"/>
      <c r="E193" s="133"/>
      <c r="F193" s="106"/>
    </row>
    <row r="194" spans="2:6" ht="15" x14ac:dyDescent="0.25">
      <c r="B194" s="325"/>
      <c r="C194" s="133" t="s">
        <v>246</v>
      </c>
      <c r="D194" s="113"/>
      <c r="E194" s="133"/>
      <c r="F194" s="106"/>
    </row>
    <row r="195" spans="2:6" ht="15" x14ac:dyDescent="0.25">
      <c r="B195" s="325"/>
      <c r="C195" s="133" t="s">
        <v>247</v>
      </c>
      <c r="D195" s="113"/>
      <c r="E195" s="133"/>
      <c r="F195" s="106"/>
    </row>
    <row r="196" spans="2:6" ht="15.75" thickBot="1" x14ac:dyDescent="0.3">
      <c r="B196" s="326"/>
      <c r="C196" s="131" t="s">
        <v>248</v>
      </c>
      <c r="D196" s="130"/>
      <c r="E196" s="131"/>
      <c r="F196" s="108"/>
    </row>
    <row r="197" spans="2:6" ht="15" x14ac:dyDescent="0.25">
      <c r="B197" s="339" t="s">
        <v>252</v>
      </c>
      <c r="C197" s="135" t="s">
        <v>249</v>
      </c>
      <c r="D197" s="114" t="s">
        <v>251</v>
      </c>
      <c r="E197" s="139"/>
      <c r="F197" s="112"/>
    </row>
    <row r="198" spans="2:6" ht="15" x14ac:dyDescent="0.25">
      <c r="B198" s="340"/>
      <c r="C198" s="141" t="s">
        <v>250</v>
      </c>
      <c r="D198" s="142"/>
      <c r="E198" s="143"/>
      <c r="F198" s="112"/>
    </row>
    <row r="199" spans="2:6" ht="15.75" thickBot="1" x14ac:dyDescent="0.3">
      <c r="B199" s="341"/>
      <c r="C199" s="129" t="s">
        <v>248</v>
      </c>
      <c r="D199" s="117" t="s">
        <v>253</v>
      </c>
      <c r="E199" s="140"/>
      <c r="F199" s="112"/>
    </row>
    <row r="200" spans="2:6" ht="15" x14ac:dyDescent="0.25">
      <c r="B200" s="136"/>
      <c r="C200" s="137"/>
      <c r="D200" s="138"/>
      <c r="E200" s="137"/>
      <c r="F200" s="112"/>
    </row>
    <row r="201" spans="2:6" ht="15" x14ac:dyDescent="0.25">
      <c r="B201" s="136"/>
      <c r="C201" s="137"/>
      <c r="D201" s="138"/>
      <c r="E201" s="137"/>
      <c r="F201" s="112"/>
    </row>
    <row r="202" spans="2:6" ht="15" x14ac:dyDescent="0.25">
      <c r="B202" s="136"/>
      <c r="C202" s="137"/>
      <c r="D202" s="138"/>
      <c r="E202" s="137"/>
      <c r="F202" s="112"/>
    </row>
    <row r="203" spans="2:6" x14ac:dyDescent="0.2">
      <c r="C203" s="111"/>
      <c r="D203" s="112"/>
      <c r="E203" s="112"/>
    </row>
    <row r="204" spans="2:6" ht="15.75" x14ac:dyDescent="0.2">
      <c r="B204" s="323" t="s">
        <v>153</v>
      </c>
      <c r="C204" s="323"/>
      <c r="D204" s="323"/>
      <c r="E204" s="323"/>
      <c r="F204" s="323"/>
    </row>
  </sheetData>
  <mergeCells count="14">
    <mergeCell ref="B204:F204"/>
    <mergeCell ref="B29:B181"/>
    <mergeCell ref="B1:F1"/>
    <mergeCell ref="B3:D3"/>
    <mergeCell ref="B4:B8"/>
    <mergeCell ref="C4:C6"/>
    <mergeCell ref="C7:C8"/>
    <mergeCell ref="B9:B14"/>
    <mergeCell ref="C9:C10"/>
    <mergeCell ref="C11:C12"/>
    <mergeCell ref="C13:C14"/>
    <mergeCell ref="B15:B28"/>
    <mergeCell ref="B182:B196"/>
    <mergeCell ref="B197:B19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2:E19"/>
  <sheetViews>
    <sheetView topLeftCell="A4" workbookViewId="0">
      <selection activeCell="B13" sqref="B13:B19"/>
    </sheetView>
  </sheetViews>
  <sheetFormatPr baseColWidth="10" defaultRowHeight="15" x14ac:dyDescent="0.25"/>
  <sheetData>
    <row r="2" spans="2:5" x14ac:dyDescent="0.25">
      <c r="B2" t="s">
        <v>31</v>
      </c>
      <c r="E2" t="s">
        <v>129</v>
      </c>
    </row>
    <row r="3" spans="2:5" x14ac:dyDescent="0.25">
      <c r="B3" t="s">
        <v>32</v>
      </c>
      <c r="E3" t="s">
        <v>128</v>
      </c>
    </row>
    <row r="4" spans="2:5" x14ac:dyDescent="0.25">
      <c r="B4" t="s">
        <v>133</v>
      </c>
      <c r="E4" t="s">
        <v>130</v>
      </c>
    </row>
    <row r="5" spans="2:5" x14ac:dyDescent="0.25">
      <c r="B5" t="s">
        <v>132</v>
      </c>
    </row>
    <row r="8" spans="2:5" x14ac:dyDescent="0.25">
      <c r="B8" t="s">
        <v>84</v>
      </c>
    </row>
    <row r="9" spans="2:5" x14ac:dyDescent="0.25">
      <c r="B9" t="s">
        <v>40</v>
      </c>
    </row>
    <row r="10" spans="2:5" x14ac:dyDescent="0.25">
      <c r="B10" t="s">
        <v>41</v>
      </c>
    </row>
    <row r="13" spans="2:5" x14ac:dyDescent="0.25">
      <c r="B13" t="s">
        <v>127</v>
      </c>
    </row>
    <row r="14" spans="2:5" x14ac:dyDescent="0.25">
      <c r="B14" t="s">
        <v>121</v>
      </c>
    </row>
    <row r="15" spans="2:5" x14ac:dyDescent="0.25">
      <c r="B15" t="s">
        <v>124</v>
      </c>
    </row>
    <row r="16" spans="2:5" x14ac:dyDescent="0.25">
      <c r="B16" t="s">
        <v>122</v>
      </c>
    </row>
    <row r="17" spans="2:2" x14ac:dyDescent="0.25">
      <c r="B17" t="s">
        <v>123</v>
      </c>
    </row>
    <row r="18" spans="2:2" x14ac:dyDescent="0.25">
      <c r="B18" t="s">
        <v>125</v>
      </c>
    </row>
    <row r="19" spans="2:2" x14ac:dyDescent="0.25">
      <c r="B19" t="s">
        <v>126</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3:A21"/>
  <sheetViews>
    <sheetView workbookViewId="0">
      <selection activeCell="A19" sqref="A19"/>
    </sheetView>
  </sheetViews>
  <sheetFormatPr baseColWidth="10" defaultRowHeight="12.75" x14ac:dyDescent="0.2"/>
  <cols>
    <col min="1" max="1" width="32.855468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40</v>
      </c>
    </row>
    <row r="21" spans="1:1" x14ac:dyDescent="0.2">
      <c r="A21" s="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51</vt:i4>
      </vt:variant>
    </vt:vector>
  </HeadingPairs>
  <TitlesOfParts>
    <vt:vector size="60"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lpstr>ADQUISICIÓN_DESARROLLO_Y_MANTENIMIENTO_DE_SISTEMAS</vt:lpstr>
      <vt:lpstr>Antes_de_asumir_el_empleo</vt:lpstr>
      <vt:lpstr>Áreas_seguras</vt:lpstr>
      <vt:lpstr>ASPECTOS_DE_SEGURIDAD_DE_LA_INFORMACIÓN_DE_LA_GESTIÓN_DE_CONTINUIDAD_DE_NEGOCIO</vt:lpstr>
      <vt:lpstr>ASPECTOS_DE_SEGURIDAD_DE_LA_INFORMACION_DE_LA_GESTIÓN_DE_CONTINUIDAD_DE_NEGOCIO.</vt:lpstr>
      <vt:lpstr>Clasificación_de_la_información</vt:lpstr>
      <vt:lpstr>Consideraciones_sobre_auditorías_de_sistemas_de_información</vt:lpstr>
      <vt:lpstr>Continuidad_de_seguridad_de_la_información</vt:lpstr>
      <vt:lpstr>CONTROL_DE_ACCESO</vt:lpstr>
      <vt:lpstr>Control_de_acceso_a_sistemas_y_aplicaciones</vt:lpstr>
      <vt:lpstr>Control_de_software_operacional</vt:lpstr>
      <vt:lpstr>Controles_criptográficos</vt:lpstr>
      <vt:lpstr>CONTROLG</vt:lpstr>
      <vt:lpstr>Copias_de_respaldo</vt:lpstr>
      <vt:lpstr>CRIPTOGRAFÍA</vt:lpstr>
      <vt:lpstr>CUMPLIMIENTO</vt:lpstr>
      <vt:lpstr>Cumplimiento_de_requisitos_legales_y_contractuales</vt:lpstr>
      <vt:lpstr>Datos_de_prueba</vt:lpstr>
      <vt:lpstr>Dispositivos_móviles_y_teletrabajo</vt:lpstr>
      <vt:lpstr>Durante_la_ejecución_del_empleo</vt:lpstr>
      <vt:lpstr>Equipos</vt:lpstr>
      <vt:lpstr>Gestión_de_acceso_de_usuarios</vt:lpstr>
      <vt:lpstr>GESTIÓN_DE_ACTIVOS</vt:lpstr>
      <vt:lpstr>GESTIÓN_DE_INCIDENTES_DE_SEGURIDAD_DE_LA_INFORMACIÓN</vt:lpstr>
      <vt:lpstr>Gestión_de_incidentes_y_mejoras_en_la_seguridad_de_la_información</vt:lpstr>
      <vt:lpstr>Gestión_de_la_prestación_de_servicios_de_proveedores</vt:lpstr>
      <vt:lpstr>Gestión_de_la_seguridad_de_las_redes</vt:lpstr>
      <vt:lpstr>Gestión_de_la_vulnerabilidad_técnica</vt:lpstr>
      <vt:lpstr>Manejo_de_medios</vt:lpstr>
      <vt:lpstr>ORGANIZACIÓN_DE_LA_SEGURIDAD_DE_LA_INFORMACION</vt:lpstr>
      <vt:lpstr>Organización_interna</vt:lpstr>
      <vt:lpstr>Orientación_de_la_dirección_para_la_gestión_de_la_seguridad_de_la_información</vt:lpstr>
      <vt:lpstr>POLITICAS_DE_LA_SEGURIDAD_DE_LA_INFORMACIÓN</vt:lpstr>
      <vt:lpstr>Procedimientos_operacionales_y_responsabilidades</vt:lpstr>
      <vt:lpstr>Protección_contra_códigos_maliciosos</vt:lpstr>
      <vt:lpstr>Redundancias</vt:lpstr>
      <vt:lpstr>Registro_y_seguimiento</vt:lpstr>
      <vt:lpstr>RELACIONES_CON_LOS_PROVEEDORES</vt:lpstr>
      <vt:lpstr>Requisitos_de_seguridad_de_los_sistemas_de_información</vt:lpstr>
      <vt:lpstr>Requisitos_del_negocio_para_control_de_acceso</vt:lpstr>
      <vt:lpstr>Responsabilidad_por_los_activos</vt:lpstr>
      <vt:lpstr>Responsabilidades_de_los_usuarios</vt:lpstr>
      <vt:lpstr>Revisiones_de_seguridad_de_la_información</vt:lpstr>
      <vt:lpstr>Seguridad_de_la_información_en_las_relaciones_con_los_proveedores</vt:lpstr>
      <vt:lpstr>SEGURIDAD_DE_LAS_COMUNICACIONES</vt:lpstr>
      <vt:lpstr>SEGURIDAD_DE_LAS_OPERACIONES</vt:lpstr>
      <vt:lpstr>SEGURIDAD_DE_LOS_RECURSOS_HUMANOS</vt:lpstr>
      <vt:lpstr>Seguridad_en_los_procesos_de_desarrollo_y_de_soporte</vt:lpstr>
      <vt:lpstr>SEGURIDAD_FÍSICA_Y_DEL_ENTORNO</vt:lpstr>
      <vt:lpstr>Terminación_y_cambio_de_empleo</vt:lpstr>
      <vt:lpstr>Transferencia_de_información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Willy Alexander Vijalba Caballero</cp:lastModifiedBy>
  <cp:lastPrinted>2022-01-25T15:03:27Z</cp:lastPrinted>
  <dcterms:created xsi:type="dcterms:W3CDTF">2020-03-24T23:12:47Z</dcterms:created>
  <dcterms:modified xsi:type="dcterms:W3CDTF">2022-01-25T15:05:11Z</dcterms:modified>
</cp:coreProperties>
</file>