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1 PPTO\INFORMES\INDICADORES Y PAG WEB\SEPTIEMBRE 2021\"/>
    </mc:Choice>
  </mc:AlternateContent>
  <bookViews>
    <workbookView xWindow="-120" yWindow="-120" windowWidth="29040" windowHeight="15840"/>
  </bookViews>
  <sheets>
    <sheet name="SEPTIEMBRE" sheetId="22" r:id="rId1"/>
    <sheet name="Ejec. para Indicadores" sheetId="2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24" l="1"/>
  <c r="I10" i="24"/>
  <c r="M17" i="24" l="1"/>
  <c r="K17" i="24"/>
  <c r="K13" i="24"/>
  <c r="L12" i="24"/>
  <c r="L17" i="24" l="1"/>
  <c r="K16" i="24"/>
  <c r="K15" i="24"/>
  <c r="K14" i="24"/>
  <c r="K10" i="24"/>
  <c r="K9" i="24"/>
  <c r="K8" i="24"/>
  <c r="K7" i="24"/>
  <c r="J16" i="24"/>
  <c r="J15" i="24"/>
  <c r="J14" i="24"/>
  <c r="J13" i="24"/>
  <c r="J10" i="24"/>
  <c r="J9" i="24"/>
  <c r="J8" i="24"/>
  <c r="J7" i="24"/>
  <c r="I7" i="22"/>
  <c r="C12" i="22" l="1"/>
  <c r="C6" i="22"/>
  <c r="D11" i="24" l="1"/>
  <c r="G10" i="22" l="1"/>
  <c r="G9" i="22"/>
  <c r="E10" i="22"/>
  <c r="E9" i="22"/>
  <c r="J6" i="24" l="1"/>
  <c r="J12" i="24"/>
  <c r="J17" i="24" l="1"/>
  <c r="I13" i="22" l="1"/>
  <c r="I11" i="22"/>
  <c r="E7" i="22" l="1"/>
  <c r="E8" i="22"/>
  <c r="D15" i="24" l="1"/>
  <c r="D14" i="24"/>
  <c r="D16" i="24"/>
  <c r="L14" i="24" l="1"/>
  <c r="F6" i="22"/>
  <c r="H12" i="22"/>
  <c r="J6" i="22"/>
  <c r="H6" i="22"/>
  <c r="H17" i="22" l="1"/>
  <c r="K12" i="24"/>
  <c r="D7" i="24" l="1"/>
  <c r="L7" i="24" s="1"/>
  <c r="L11" i="24" l="1"/>
  <c r="D9" i="24"/>
  <c r="L9" i="24" s="1"/>
  <c r="J12" i="22" l="1"/>
  <c r="J17" i="22" s="1"/>
  <c r="K13" i="22"/>
  <c r="K14" i="22"/>
  <c r="F15" i="24" l="1"/>
  <c r="M15" i="24" s="1"/>
  <c r="F12" i="22"/>
  <c r="F17" i="22" s="1"/>
  <c r="I14" i="22"/>
  <c r="I15" i="22"/>
  <c r="E16" i="22" l="1"/>
  <c r="K6" i="24" l="1"/>
  <c r="K8" i="22" l="1"/>
  <c r="K9" i="22"/>
  <c r="K10" i="22"/>
  <c r="K15" i="22"/>
  <c r="K16" i="22"/>
  <c r="K7" i="22"/>
  <c r="K12" i="22" l="1"/>
  <c r="K6" i="22"/>
  <c r="I16" i="22"/>
  <c r="I12" i="22" s="1"/>
  <c r="I10" i="22"/>
  <c r="I9" i="22"/>
  <c r="I8" i="22"/>
  <c r="K17" i="22" l="1"/>
  <c r="D6" i="22"/>
  <c r="D12" i="22"/>
  <c r="D17" i="22" l="1"/>
  <c r="F14" i="24" l="1"/>
  <c r="M14" i="24" s="1"/>
  <c r="F16" i="24"/>
  <c r="M16" i="24" s="1"/>
  <c r="F13" i="24"/>
  <c r="F8" i="24"/>
  <c r="M8" i="24" s="1"/>
  <c r="F9" i="24"/>
  <c r="F10" i="24"/>
  <c r="F11" i="24"/>
  <c r="F7" i="24"/>
  <c r="C14" i="24"/>
  <c r="E14" i="24" s="1"/>
  <c r="C15" i="24"/>
  <c r="E15" i="24" s="1"/>
  <c r="C16" i="24"/>
  <c r="E16" i="24" s="1"/>
  <c r="C13" i="24"/>
  <c r="C12" i="24" s="1"/>
  <c r="C8" i="24"/>
  <c r="C9" i="24"/>
  <c r="C10" i="24"/>
  <c r="C11" i="24"/>
  <c r="C7" i="24"/>
  <c r="L15" i="24"/>
  <c r="D13" i="24"/>
  <c r="D8" i="24"/>
  <c r="D10" i="24"/>
  <c r="C6" i="24" l="1"/>
  <c r="C17" i="24" s="1"/>
  <c r="D12" i="24"/>
  <c r="H14" i="24" s="1"/>
  <c r="E13" i="24"/>
  <c r="E9" i="24"/>
  <c r="E10" i="24"/>
  <c r="G10" i="24"/>
  <c r="M9" i="24"/>
  <c r="G9" i="24"/>
  <c r="D6" i="24"/>
  <c r="H11" i="24" s="1"/>
  <c r="F12" i="24"/>
  <c r="M12" i="24" s="1"/>
  <c r="M13" i="24"/>
  <c r="M7" i="24"/>
  <c r="F6" i="24"/>
  <c r="M6" i="24" s="1"/>
  <c r="G16" i="24"/>
  <c r="G15" i="24"/>
  <c r="G14" i="24"/>
  <c r="G13" i="24"/>
  <c r="E11" i="24"/>
  <c r="G11" i="24"/>
  <c r="G8" i="24"/>
  <c r="E8" i="24"/>
  <c r="G7" i="24"/>
  <c r="E7" i="24"/>
  <c r="L8" i="24"/>
  <c r="M10" i="24"/>
  <c r="L16" i="24"/>
  <c r="L10" i="24"/>
  <c r="I11" i="24" l="1"/>
  <c r="D17" i="24"/>
  <c r="L6" i="24"/>
  <c r="I13" i="24"/>
  <c r="F17" i="24"/>
  <c r="G12" i="24"/>
  <c r="E12" i="24"/>
  <c r="H7" i="24"/>
  <c r="H16" i="24"/>
  <c r="H15" i="24"/>
  <c r="H6" i="24" l="1"/>
  <c r="H12" i="24"/>
  <c r="M11" i="24"/>
  <c r="L13" i="24" l="1"/>
  <c r="H8" i="24" l="1"/>
  <c r="H9" i="24"/>
  <c r="I16" i="24"/>
  <c r="E12" i="22"/>
  <c r="E13" i="22"/>
  <c r="E11" i="22"/>
  <c r="G11" i="22"/>
  <c r="E15" i="22"/>
  <c r="E14" i="22"/>
  <c r="G16" i="22"/>
  <c r="G15" i="22"/>
  <c r="G14" i="22"/>
  <c r="G13" i="22"/>
  <c r="G8" i="22"/>
  <c r="G7" i="22"/>
  <c r="E17" i="24" l="1"/>
  <c r="E6" i="24"/>
  <c r="C17" i="22"/>
  <c r="G12" i="22"/>
  <c r="G6" i="24"/>
  <c r="I9" i="24"/>
  <c r="I15" i="24"/>
  <c r="I7" i="24"/>
  <c r="I14" i="24"/>
  <c r="I8" i="24"/>
  <c r="G6" i="22"/>
  <c r="E6" i="22"/>
  <c r="H13" i="24"/>
  <c r="G17" i="22" l="1"/>
  <c r="E17" i="22"/>
  <c r="G17" i="24"/>
  <c r="I6" i="24"/>
  <c r="I12" i="24"/>
  <c r="I6" i="22" l="1"/>
  <c r="I17" i="22" s="1"/>
</calcChain>
</file>

<file path=xl/sharedStrings.xml><?xml version="1.0" encoding="utf-8"?>
<sst xmlns="http://schemas.openxmlformats.org/spreadsheetml/2006/main" count="74" uniqueCount="43">
  <si>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</si>
  <si>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</si>
  <si>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</si>
  <si>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</si>
  <si>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</si>
  <si>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</si>
  <si>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</si>
  <si>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</si>
  <si>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</si>
  <si>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</si>
  <si>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</si>
  <si>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</si>
  <si>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</si>
  <si>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</si>
  <si>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</si>
  <si>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</si>
  <si>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</si>
  <si>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</si>
  <si>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</si>
  <si>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</si>
  <si>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</si>
  <si>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</si>
  <si>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</si>
  <si>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</si>
  <si>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</si>
  <si>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</si>
  <si>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</si>
  <si>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</si>
  <si>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</si>
  <si>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</si>
  <si>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</si>
  <si>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</si>
  <si>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</si>
  <si>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</si>
  <si>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</si>
  <si>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</si>
  <si>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SE CAMBIAN ESTOS</t>
  </si>
  <si>
    <t>OBLI</t>
  </si>
  <si>
    <t>ESTAN valores SE CAMBIAN MES A MES con las metas</t>
  </si>
  <si>
    <t>C-0208-1000-11</t>
  </si>
  <si>
    <t>CONSOLIDACIÓN DEL SISTEMA NACIONAL DE COOPERACIÓN INTERNACIONAL A NIVEL  NACIONAL</t>
  </si>
  <si>
    <t>cuadro info informe</t>
  </si>
  <si>
    <t>INFORMACIÓN PRESUPUESTAL APC-COLOMBIA A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</si>
</sst>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_-&quot;$&quot;* #,##0.00_-;\-&quot;$&quot;* #,##0.00_-;_-&quot;$&quot;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5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3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12" fillId="5" borderId="11" xfId="4" applyNumberFormat="1" applyFont="1" applyFill="1" applyBorder="1"/>
    <xf numFmtId="10" fontId="0" fillId="0" borderId="0" xfId="4" applyNumberFormat="1" applyFont="1" applyFill="1"/>
    <xf numFmtId="0" fontId="0" fillId="3" borderId="0" xfId="0" applyFont="1" applyFill="1"/>
    <xf numFmtId="10" fontId="0" fillId="5" borderId="13" xfId="4" applyNumberFormat="1" applyFont="1" applyFill="1" applyBorder="1"/>
    <xf numFmtId="10" fontId="0" fillId="5" borderId="2" xfId="4" applyNumberFormat="1" applyFont="1" applyFill="1" applyBorder="1"/>
    <xf numFmtId="10" fontId="0" fillId="5" borderId="14" xfId="4" applyNumberFormat="1" applyFont="1" applyFill="1" applyBorder="1"/>
    <xf numFmtId="166" fontId="12" fillId="0" borderId="18" xfId="5" applyNumberFormat="1" applyFont="1" applyBorder="1"/>
    <xf numFmtId="166" fontId="12" fillId="0" borderId="19" xfId="5" applyNumberFormat="1" applyFont="1" applyBorder="1"/>
    <xf numFmtId="10" fontId="0" fillId="5" borderId="20" xfId="4" applyNumberFormat="1" applyFont="1" applyFill="1" applyBorder="1"/>
    <xf numFmtId="166" fontId="12" fillId="0" borderId="22" xfId="5" applyNumberFormat="1" applyFont="1" applyBorder="1"/>
    <xf numFmtId="166" fontId="12" fillId="0" borderId="23" xfId="5" applyNumberFormat="1" applyFont="1" applyBorder="1"/>
    <xf numFmtId="166" fontId="12" fillId="0" borderId="10" xfId="0" applyNumberFormat="1" applyFont="1" applyBorder="1"/>
    <xf numFmtId="166" fontId="12" fillId="0" borderId="11" xfId="0" applyNumberFormat="1" applyFont="1" applyBorder="1"/>
    <xf numFmtId="166" fontId="0" fillId="0" borderId="16" xfId="0" applyNumberFormat="1" applyFont="1" applyBorder="1"/>
    <xf numFmtId="166" fontId="0" fillId="0" borderId="6" xfId="0" applyNumberFormat="1" applyFont="1" applyBorder="1"/>
    <xf numFmtId="166" fontId="12" fillId="0" borderId="0" xfId="0" applyNumberFormat="1" applyFont="1"/>
    <xf numFmtId="166" fontId="0" fillId="8" borderId="0" xfId="0" applyNumberFormat="1" applyFont="1" applyFill="1"/>
    <xf numFmtId="165" fontId="0" fillId="8" borderId="5" xfId="6" applyFont="1" applyFill="1" applyBorder="1"/>
    <xf numFmtId="170" fontId="0" fillId="8" borderId="0" xfId="5" applyNumberFormat="1" applyFont="1" applyFill="1"/>
    <xf numFmtId="170" fontId="0" fillId="8" borderId="5" xfId="5" applyNumberFormat="1" applyFont="1" applyFill="1" applyBorder="1"/>
    <xf numFmtId="166" fontId="13" fillId="3" borderId="3" xfId="5" applyNumberFormat="1" applyFont="1" applyFill="1" applyBorder="1"/>
    <xf numFmtId="166" fontId="13" fillId="3" borderId="4" xfId="5" applyNumberFormat="1" applyFont="1" applyFill="1" applyBorder="1"/>
    <xf numFmtId="166" fontId="13" fillId="3" borderId="5" xfId="5" applyNumberFormat="1" applyFont="1" applyFill="1" applyBorder="1"/>
    <xf numFmtId="166" fontId="13" fillId="3" borderId="6" xfId="5" applyNumberFormat="1" applyFont="1" applyFill="1" applyBorder="1"/>
    <xf numFmtId="166" fontId="13" fillId="3" borderId="7" xfId="5" applyNumberFormat="1" applyFont="1" applyFill="1" applyBorder="1"/>
    <xf numFmtId="166" fontId="13" fillId="3" borderId="8" xfId="5" applyNumberFormat="1" applyFont="1" applyFill="1" applyBorder="1"/>
    <xf numFmtId="165" fontId="0" fillId="0" borderId="0" xfId="6" applyFont="1"/>
    <xf numFmtId="10" fontId="12" fillId="6" borderId="24" xfId="4" applyNumberFormat="1" applyFont="1" applyFill="1" applyBorder="1"/>
    <xf numFmtId="10" fontId="0" fillId="6" borderId="15" xfId="4" applyNumberFormat="1" applyFont="1" applyFill="1" applyBorder="1"/>
    <xf numFmtId="10" fontId="0" fillId="6" borderId="16" xfId="4" applyNumberFormat="1" applyFont="1" applyFill="1" applyBorder="1"/>
    <xf numFmtId="10" fontId="0" fillId="6" borderId="21" xfId="4" applyNumberFormat="1" applyFont="1" applyFill="1" applyBorder="1"/>
    <xf numFmtId="10" fontId="0" fillId="6" borderId="17" xfId="4" applyNumberFormat="1" applyFont="1" applyFill="1" applyBorder="1"/>
    <xf numFmtId="0" fontId="7" fillId="0" borderId="28" xfId="3" applyFont="1" applyBorder="1"/>
    <xf numFmtId="0" fontId="0" fillId="0" borderId="0" xfId="0" applyFont="1" applyBorder="1"/>
    <xf numFmtId="166" fontId="0" fillId="0" borderId="0" xfId="0" applyNumberFormat="1" applyFont="1" applyBorder="1"/>
    <xf numFmtId="0" fontId="0" fillId="0" borderId="29" xfId="0" applyFont="1" applyBorder="1"/>
    <xf numFmtId="0" fontId="8" fillId="2" borderId="5" xfId="0" applyFont="1" applyFill="1" applyBorder="1" applyAlignment="1" applyProtection="1">
      <alignment vertical="center" wrapText="1" readingOrder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left" vertical="center" wrapText="1" readingOrder="1"/>
      <protection locked="0"/>
    </xf>
    <xf numFmtId="10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 applyAlignment="1">
      <alignment horizontal="left" vertical="center" wrapText="1" indent="1"/>
    </xf>
    <xf numFmtId="10" fontId="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4" borderId="30" xfId="0" applyNumberFormat="1" applyFont="1" applyFill="1" applyBorder="1" applyAlignment="1">
      <alignment horizontal="center" vertical="center" wrapText="1" readingOrder="1"/>
    </xf>
    <xf numFmtId="10" fontId="5" fillId="4" borderId="30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31" xfId="0" applyNumberFormat="1" applyFont="1" applyFill="1" applyBorder="1" applyAlignment="1">
      <alignment horizontal="center" vertical="center" wrapText="1" readingOrder="1"/>
    </xf>
    <xf numFmtId="43" fontId="0" fillId="0" borderId="16" xfId="5" applyFont="1" applyBorder="1"/>
    <xf numFmtId="165" fontId="0" fillId="8" borderId="16" xfId="6" applyFont="1" applyFill="1" applyBorder="1"/>
    <xf numFmtId="43" fontId="0" fillId="0" borderId="16" xfId="5" applyFont="1" applyFill="1" applyBorder="1"/>
    <xf numFmtId="43" fontId="0" fillId="8" borderId="16" xfId="5" applyFont="1" applyFill="1" applyBorder="1"/>
    <xf numFmtId="10" fontId="5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166" fontId="1" fillId="0" borderId="33" xfId="0" applyNumberFormat="1" applyFont="1" applyFill="1" applyBorder="1" applyAlignment="1">
      <alignment horizontal="right" vertical="center" wrapText="1"/>
    </xf>
    <xf numFmtId="167" fontId="1" fillId="0" borderId="33" xfId="0" applyNumberFormat="1" applyFont="1" applyFill="1" applyBorder="1" applyAlignment="1" applyProtection="1">
      <alignment horizontal="right" vertical="center" wrapText="1" readingOrder="1"/>
      <protection locked="0"/>
    </xf>
    <xf numFmtId="167" fontId="1" fillId="0" borderId="34" xfId="0" applyNumberFormat="1" applyFont="1" applyFill="1" applyBorder="1" applyAlignment="1" applyProtection="1">
      <alignment horizontal="right" vertical="center" wrapText="1" readingOrder="1"/>
      <protection locked="0"/>
    </xf>
    <xf numFmtId="43" fontId="3" fillId="9" borderId="16" xfId="5" applyFont="1" applyFill="1" applyBorder="1"/>
    <xf numFmtId="43" fontId="1" fillId="0" borderId="0" xfId="5" applyFont="1" applyFill="1" applyBorder="1" applyAlignment="1">
      <alignment horizontal="center" vertical="center" wrapText="1"/>
    </xf>
    <xf numFmtId="43" fontId="2" fillId="0" borderId="0" xfId="5" applyFont="1" applyFill="1"/>
    <xf numFmtId="164" fontId="0" fillId="0" borderId="0" xfId="0" applyNumberFormat="1" applyFont="1"/>
    <xf numFmtId="166" fontId="13" fillId="0" borderId="15" xfId="0" applyNumberFormat="1" applyFont="1" applyBorder="1"/>
    <xf numFmtId="166" fontId="13" fillId="0" borderId="9" xfId="0" applyNumberFormat="1" applyFont="1" applyBorder="1"/>
    <xf numFmtId="166" fontId="13" fillId="0" borderId="16" xfId="0" applyNumberFormat="1" applyFont="1" applyBorder="1"/>
    <xf numFmtId="166" fontId="13" fillId="0" borderId="6" xfId="0" applyNumberFormat="1" applyFont="1" applyBorder="1"/>
    <xf numFmtId="166" fontId="13" fillId="0" borderId="21" xfId="0" applyNumberFormat="1" applyFont="1" applyBorder="1"/>
    <xf numFmtId="166" fontId="13" fillId="0" borderId="12" xfId="0" applyNumberFormat="1" applyFont="1" applyBorder="1"/>
    <xf numFmtId="166" fontId="13" fillId="0" borderId="17" xfId="0" applyNumberFormat="1" applyFont="1" applyBorder="1"/>
    <xf numFmtId="166" fontId="13" fillId="0" borderId="8" xfId="0" applyNumberFormat="1" applyFont="1" applyBorder="1"/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16" xfId="2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="90" zoomScaleNormal="90" workbookViewId="0">
      <selection activeCell="O7" sqref="O7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19.140625" style="1" customWidth="1"/>
    <col min="8" max="8" width="20.5703125" style="1" hidden="1" customWidth="1"/>
    <col min="9" max="9" width="16.42578125" style="1" hidden="1" customWidth="1"/>
    <col min="10" max="10" width="20" style="37" hidden="1" customWidth="1"/>
    <col min="11" max="11" width="13.42578125" style="1" hidden="1" customWidth="1"/>
    <col min="12" max="12" width="10.85546875" style="1" customWidth="1"/>
    <col min="13" max="13" width="20.7109375" style="1" bestFit="1" customWidth="1"/>
    <col min="14" max="14" width="13.85546875" style="1" bestFit="1" customWidth="1"/>
    <col min="15" max="16384" width="10.85546875" style="1"/>
  </cols>
  <sheetData>
    <row r="1" spans="1:14" ht="41.1" customHeight="1" x14ac:dyDescent="0.2">
      <c r="A1"/>
    </row>
    <row r="2" spans="1:14" ht="41.1" customHeight="1" thickBot="1" x14ac:dyDescent="0.25">
      <c r="A2" s="1">
        <v>0</v>
      </c>
    </row>
    <row r="3" spans="1:14" ht="15.75" customHeight="1" x14ac:dyDescent="0.2">
      <c r="A3" s="116" t="s">
        <v>42</v>
      </c>
      <c r="B3" s="117"/>
      <c r="C3" s="117"/>
      <c r="D3" s="117"/>
      <c r="E3" s="117"/>
      <c r="F3" s="117"/>
      <c r="G3" s="118"/>
    </row>
    <row r="4" spans="1:14" ht="15.75" x14ac:dyDescent="0.25">
      <c r="A4" s="78" t="s">
        <v>0</v>
      </c>
      <c r="B4" s="79"/>
      <c r="C4" s="80"/>
      <c r="D4" s="79"/>
      <c r="E4" s="79"/>
      <c r="F4" s="79"/>
      <c r="G4" s="81"/>
    </row>
    <row r="5" spans="1:14" s="20" customFormat="1" ht="63" customHeight="1" x14ac:dyDescent="0.2">
      <c r="A5" s="82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83" t="s">
        <v>12</v>
      </c>
      <c r="H5" s="1" t="s">
        <v>36</v>
      </c>
      <c r="J5" s="37" t="s">
        <v>37</v>
      </c>
    </row>
    <row r="6" spans="1:14" ht="30" customHeight="1" thickBot="1" x14ac:dyDescent="0.25">
      <c r="A6" s="84" t="s">
        <v>4</v>
      </c>
      <c r="B6" s="9" t="s">
        <v>5</v>
      </c>
      <c r="C6" s="11">
        <f>SUM(C7:C11)</f>
        <v>28695</v>
      </c>
      <c r="D6" s="11">
        <f>SUM(D7:D11)</f>
        <v>20041.645939280002</v>
      </c>
      <c r="E6" s="12">
        <f>IF(C6=0,"",D6/C6)</f>
        <v>0.69843686841888841</v>
      </c>
      <c r="F6" s="11">
        <f>SUM(F7:F11)</f>
        <v>18265.306577160005</v>
      </c>
      <c r="G6" s="85">
        <f>IF(C6=0,"",F6/C6)</f>
        <v>0.63653272615995837</v>
      </c>
      <c r="H6" s="62">
        <f>SUM(H7:H11)</f>
        <v>20041645939.279999</v>
      </c>
      <c r="I6" s="62">
        <f>SUM(I7:I10)</f>
        <v>20041.279939280001</v>
      </c>
      <c r="J6" s="64">
        <f>SUM(J7:J11)</f>
        <v>18265306577.16</v>
      </c>
      <c r="K6" s="64">
        <f>SUM(K7:K10)</f>
        <v>18264.940577160003</v>
      </c>
    </row>
    <row r="7" spans="1:14" ht="30" customHeight="1" x14ac:dyDescent="0.2">
      <c r="A7" s="86" t="s">
        <v>17</v>
      </c>
      <c r="B7" s="10" t="s">
        <v>6</v>
      </c>
      <c r="C7" s="13">
        <v>10076</v>
      </c>
      <c r="D7" s="35">
        <v>6701.2557850000003</v>
      </c>
      <c r="E7" s="14">
        <f>IF(C7=0,"",D7/C7)</f>
        <v>0.66507103860658989</v>
      </c>
      <c r="F7" s="35">
        <v>6701.2557850000003</v>
      </c>
      <c r="G7" s="87">
        <f>IF(C7=0,"",F7/C7)</f>
        <v>0.66507103860658989</v>
      </c>
      <c r="H7" s="91">
        <v>6701255785</v>
      </c>
      <c r="I7" s="43">
        <f>+H7/1000000</f>
        <v>6701.2557850000003</v>
      </c>
      <c r="J7" s="40">
        <v>6701255785</v>
      </c>
      <c r="K7" s="45">
        <f>+J7/1000000</f>
        <v>6701.2557850000003</v>
      </c>
    </row>
    <row r="8" spans="1:14" ht="30" customHeight="1" x14ac:dyDescent="0.2">
      <c r="A8" s="86" t="s">
        <v>18</v>
      </c>
      <c r="B8" s="10" t="s">
        <v>19</v>
      </c>
      <c r="C8" s="13">
        <v>3900</v>
      </c>
      <c r="D8" s="13">
        <v>2715.7136212800001</v>
      </c>
      <c r="E8" s="14">
        <f>IF(C8=0,"",D8/C8)</f>
        <v>0.69633682596923074</v>
      </c>
      <c r="F8" s="13">
        <v>1916.3842991600002</v>
      </c>
      <c r="G8" s="87">
        <f t="shared" ref="G8:G16" si="0">IF(C8=0,"",F8/C8)</f>
        <v>0.49138058952820518</v>
      </c>
      <c r="H8" s="102">
        <v>2715713621.2800002</v>
      </c>
      <c r="I8" s="44">
        <f>+H8/1000000</f>
        <v>2715.7136212800001</v>
      </c>
      <c r="J8" s="41">
        <v>1916384299.1600001</v>
      </c>
      <c r="K8" s="44">
        <f t="shared" ref="K8:K16" si="1">+J8/1000000</f>
        <v>1916.3842991600002</v>
      </c>
      <c r="M8" s="104"/>
      <c r="N8" s="105"/>
    </row>
    <row r="9" spans="1:14" ht="30" customHeight="1" x14ac:dyDescent="0.2">
      <c r="A9" s="86" t="s">
        <v>22</v>
      </c>
      <c r="B9" s="10" t="s">
        <v>7</v>
      </c>
      <c r="C9" s="13">
        <v>14582</v>
      </c>
      <c r="D9" s="35">
        <v>10591.809053999999</v>
      </c>
      <c r="E9" s="14">
        <f>IF(C9=0,"",D9/($C$9+$C$10))</f>
        <v>0.72368195230937415</v>
      </c>
      <c r="F9" s="13">
        <v>9618.8080050000008</v>
      </c>
      <c r="G9" s="87">
        <f>IF(C9=0,"",F9/($C$9+$C$10))</f>
        <v>0.65720196809237497</v>
      </c>
      <c r="H9" s="92">
        <v>10591809054</v>
      </c>
      <c r="I9" s="44">
        <f>+H9/1000000</f>
        <v>10591.809053999999</v>
      </c>
      <c r="J9" s="41">
        <v>9618808005</v>
      </c>
      <c r="K9" s="44">
        <f t="shared" si="1"/>
        <v>9618.8080050000008</v>
      </c>
    </row>
    <row r="10" spans="1:14" ht="30" customHeight="1" x14ac:dyDescent="0.2">
      <c r="A10" s="86" t="s">
        <v>24</v>
      </c>
      <c r="B10" s="10" t="s">
        <v>23</v>
      </c>
      <c r="C10" s="13">
        <v>54</v>
      </c>
      <c r="D10" s="13">
        <v>32.501479000000003</v>
      </c>
      <c r="E10" s="14">
        <f>IF(C10=0,"",D10/($C$9+$C$10))</f>
        <v>2.2206531156053568E-3</v>
      </c>
      <c r="F10" s="13">
        <v>28.492488000000002</v>
      </c>
      <c r="G10" s="87">
        <f>IF(C10=0,"",F10/($C$9+$C$10))</f>
        <v>1.9467400929215634E-3</v>
      </c>
      <c r="H10" s="92">
        <v>32501479</v>
      </c>
      <c r="I10" s="44">
        <f>+H10/1000000</f>
        <v>32.501479000000003</v>
      </c>
      <c r="J10" s="41">
        <v>28492488</v>
      </c>
      <c r="K10" s="44">
        <f t="shared" si="1"/>
        <v>28.492488000000002</v>
      </c>
    </row>
    <row r="11" spans="1:14" ht="30" customHeight="1" x14ac:dyDescent="0.2">
      <c r="A11" s="86" t="s">
        <v>20</v>
      </c>
      <c r="B11" s="10" t="s">
        <v>21</v>
      </c>
      <c r="C11" s="13">
        <v>83</v>
      </c>
      <c r="D11" s="36">
        <v>0.36599999999999999</v>
      </c>
      <c r="E11" s="14">
        <f>IF(C11=0,"",D11/(C11+C9))</f>
        <v>2.4957381520627345E-5</v>
      </c>
      <c r="F11" s="13">
        <v>0.36599999999999999</v>
      </c>
      <c r="G11" s="87">
        <f>IF(C11=0,"",F11/(C11+C9))</f>
        <v>2.4957381520627345E-5</v>
      </c>
      <c r="H11" s="92">
        <v>366000</v>
      </c>
      <c r="I11" s="44">
        <f>+H11/1000000</f>
        <v>0.36599999999999999</v>
      </c>
      <c r="J11" s="41">
        <v>366000</v>
      </c>
      <c r="K11" s="44">
        <v>0.36599999999999999</v>
      </c>
    </row>
    <row r="12" spans="1:14" ht="30" customHeight="1" x14ac:dyDescent="0.2">
      <c r="A12" s="84" t="s">
        <v>8</v>
      </c>
      <c r="B12" s="9" t="s">
        <v>9</v>
      </c>
      <c r="C12" s="15">
        <f>SUM(C13:C16)</f>
        <v>100157.5</v>
      </c>
      <c r="D12" s="15">
        <f>SUM(D13:D16)</f>
        <v>85014.346326789993</v>
      </c>
      <c r="E12" s="12">
        <f>IF(C12=0,"",D12/C12)</f>
        <v>0.84880659288410742</v>
      </c>
      <c r="F12" s="15">
        <f>SUM(F13:F16)</f>
        <v>30202.595381749998</v>
      </c>
      <c r="G12" s="85">
        <f>IF(C12=0,"",F12/C12)</f>
        <v>0.30155101097521403</v>
      </c>
      <c r="H12" s="93">
        <f>SUM(H13:H16)</f>
        <v>85014346326.790009</v>
      </c>
      <c r="I12" s="62">
        <f>SUM(I13:I16)</f>
        <v>85014.346326789993</v>
      </c>
      <c r="J12" s="63">
        <f t="shared" ref="J12:K12" si="2">SUM(J13:J16)</f>
        <v>30202595381.75</v>
      </c>
      <c r="K12" s="62">
        <f t="shared" si="2"/>
        <v>30202.595381749998</v>
      </c>
    </row>
    <row r="13" spans="1:14" s="2" customFormat="1" ht="45.75" customHeight="1" x14ac:dyDescent="0.2">
      <c r="A13" s="86" t="s">
        <v>26</v>
      </c>
      <c r="B13" s="10" t="s">
        <v>25</v>
      </c>
      <c r="C13" s="13">
        <v>3470</v>
      </c>
      <c r="D13" s="13">
        <v>2958.6410139999998</v>
      </c>
      <c r="E13" s="14">
        <f>IF(C13=0,"",D13/C13)</f>
        <v>0.85263429798270884</v>
      </c>
      <c r="F13" s="13">
        <v>2045.1229040000001</v>
      </c>
      <c r="G13" s="87">
        <f t="shared" si="0"/>
        <v>0.58937259481268012</v>
      </c>
      <c r="H13" s="92">
        <v>2958641014</v>
      </c>
      <c r="I13" s="44">
        <f>+H13/1000000</f>
        <v>2958.6410139999998</v>
      </c>
      <c r="J13" s="41">
        <v>2045122904</v>
      </c>
      <c r="K13" s="44">
        <f>+J13/1000000</f>
        <v>2045.1229040000001</v>
      </c>
    </row>
    <row r="14" spans="1:14" ht="45.75" customHeight="1" x14ac:dyDescent="0.2">
      <c r="A14" s="86" t="s">
        <v>27</v>
      </c>
      <c r="B14" s="10" t="s">
        <v>28</v>
      </c>
      <c r="C14" s="13">
        <v>95707.5</v>
      </c>
      <c r="D14" s="13">
        <v>81581.274104380005</v>
      </c>
      <c r="E14" s="14">
        <f t="shared" ref="E14:E15" si="3">IF(C14=0,"",D14/C14)</f>
        <v>0.85240210123950588</v>
      </c>
      <c r="F14" s="13">
        <v>27834.981089339999</v>
      </c>
      <c r="G14" s="87">
        <f t="shared" si="0"/>
        <v>0.2908338540797743</v>
      </c>
      <c r="H14" s="92">
        <v>81581274104.380005</v>
      </c>
      <c r="I14" s="44">
        <f>+H14/1000000</f>
        <v>81581.274104380005</v>
      </c>
      <c r="J14" s="41">
        <v>27834981089.34</v>
      </c>
      <c r="K14" s="44">
        <f>+J14/1000000</f>
        <v>27834.981089339999</v>
      </c>
    </row>
    <row r="15" spans="1:14" s="2" customFormat="1" ht="45.75" customHeight="1" x14ac:dyDescent="0.2">
      <c r="A15" s="86" t="s">
        <v>29</v>
      </c>
      <c r="B15" s="10" t="s">
        <v>30</v>
      </c>
      <c r="C15" s="13">
        <v>450</v>
      </c>
      <c r="D15" s="13">
        <v>345.50120841</v>
      </c>
      <c r="E15" s="14">
        <f t="shared" si="3"/>
        <v>0.76778046313333337</v>
      </c>
      <c r="F15" s="13">
        <v>204.96138840999998</v>
      </c>
      <c r="G15" s="87">
        <f t="shared" si="0"/>
        <v>0.45546975202222217</v>
      </c>
      <c r="H15" s="94">
        <v>345501208.41000003</v>
      </c>
      <c r="I15" s="44">
        <f t="shared" ref="I15:I16" si="4">+H15/1000000</f>
        <v>345.50120841</v>
      </c>
      <c r="J15" s="42">
        <v>204961388.41</v>
      </c>
      <c r="K15" s="44">
        <f t="shared" si="1"/>
        <v>204.96138840999998</v>
      </c>
      <c r="L15" s="47"/>
    </row>
    <row r="16" spans="1:14" s="2" customFormat="1" ht="45.75" customHeight="1" x14ac:dyDescent="0.2">
      <c r="A16" s="86" t="s">
        <v>39</v>
      </c>
      <c r="B16" s="10" t="s">
        <v>40</v>
      </c>
      <c r="C16" s="13">
        <v>530</v>
      </c>
      <c r="D16" s="13">
        <v>128.93</v>
      </c>
      <c r="E16" s="14">
        <f>IF(C16=0,"",D16/C16)</f>
        <v>0.24326415094339623</v>
      </c>
      <c r="F16" s="13">
        <v>117.53</v>
      </c>
      <c r="G16" s="87">
        <f t="shared" si="0"/>
        <v>0.22175471698113208</v>
      </c>
      <c r="H16" s="94">
        <v>128930000</v>
      </c>
      <c r="I16" s="44">
        <f t="shared" si="4"/>
        <v>128.93</v>
      </c>
      <c r="J16" s="42">
        <v>117530000</v>
      </c>
      <c r="K16" s="44">
        <f t="shared" si="1"/>
        <v>117.53</v>
      </c>
    </row>
    <row r="17" spans="1:11" s="3" customFormat="1" ht="33" customHeight="1" x14ac:dyDescent="0.2">
      <c r="A17" s="114" t="s">
        <v>10</v>
      </c>
      <c r="B17" s="115"/>
      <c r="C17" s="16">
        <f>C6+C12</f>
        <v>128852.5</v>
      </c>
      <c r="D17" s="16">
        <f>D6+D12</f>
        <v>105055.99226607</v>
      </c>
      <c r="E17" s="17">
        <f>IF(C17=0,"",D17/C17)</f>
        <v>0.81531978243394576</v>
      </c>
      <c r="F17" s="16">
        <f>F6+F12</f>
        <v>48467.901958910006</v>
      </c>
      <c r="G17" s="96">
        <f>IF(C17=0,"",F17/C17)</f>
        <v>0.37615026451881034</v>
      </c>
      <c r="H17" s="95">
        <f>+H12+H6</f>
        <v>105055992266.07001</v>
      </c>
      <c r="I17" s="62">
        <f>+I6+I12</f>
        <v>105055.62626607</v>
      </c>
      <c r="J17" s="65">
        <f>+J6+J12</f>
        <v>48467901958.910004</v>
      </c>
      <c r="K17" s="62">
        <f>+K6+K12</f>
        <v>48467.535958909997</v>
      </c>
    </row>
    <row r="18" spans="1:11" s="3" customFormat="1" ht="16.5" thickBot="1" x14ac:dyDescent="0.25">
      <c r="A18" s="97"/>
      <c r="B18" s="98"/>
      <c r="C18" s="99"/>
      <c r="D18" s="99"/>
      <c r="E18" s="100"/>
      <c r="F18" s="99"/>
      <c r="G18" s="101"/>
      <c r="H18" s="7"/>
      <c r="I18" s="7"/>
      <c r="J18" s="38"/>
    </row>
    <row r="19" spans="1:11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  <c r="J19" s="38"/>
    </row>
    <row r="20" spans="1:11" ht="18" customHeight="1" x14ac:dyDescent="0.2">
      <c r="D20" s="28"/>
      <c r="E20" s="26"/>
      <c r="F20" s="28"/>
      <c r="G20" s="26"/>
      <c r="I20" s="72"/>
    </row>
    <row r="21" spans="1:11" ht="18" customHeight="1" x14ac:dyDescent="0.2">
      <c r="D21" s="28"/>
      <c r="E21" s="26"/>
      <c r="F21" s="28"/>
      <c r="G21" s="26"/>
      <c r="I21" s="72"/>
    </row>
    <row r="22" spans="1:11" ht="18" customHeight="1" x14ac:dyDescent="0.2">
      <c r="C22" s="23"/>
      <c r="D22" s="28"/>
      <c r="E22" s="26"/>
      <c r="F22" s="28"/>
      <c r="G22" s="26"/>
      <c r="I22" s="72"/>
    </row>
    <row r="23" spans="1:11" ht="18" customHeight="1" x14ac:dyDescent="0.2">
      <c r="D23" s="28"/>
      <c r="F23" s="28"/>
      <c r="I23" s="72"/>
    </row>
    <row r="24" spans="1:11" ht="18" customHeight="1" x14ac:dyDescent="0.2">
      <c r="D24" s="28"/>
      <c r="E24" s="26"/>
      <c r="F24" s="28"/>
      <c r="G24" s="26"/>
      <c r="I24" s="72"/>
    </row>
    <row r="25" spans="1:11" ht="18" customHeight="1" x14ac:dyDescent="0.2">
      <c r="C25" s="23"/>
      <c r="D25" s="28"/>
      <c r="E25" s="26"/>
      <c r="F25" s="28"/>
      <c r="G25" s="26"/>
    </row>
    <row r="26" spans="1:11" s="6" customFormat="1" ht="18" customHeight="1" x14ac:dyDescent="0.2">
      <c r="C26" s="24"/>
      <c r="D26" s="28"/>
      <c r="E26" s="26"/>
      <c r="F26" s="28"/>
      <c r="G26" s="26"/>
      <c r="J26" s="39"/>
    </row>
    <row r="27" spans="1:11" ht="15.75" x14ac:dyDescent="0.2">
      <c r="C27" s="24"/>
      <c r="D27" s="28"/>
      <c r="E27" s="26"/>
      <c r="F27" s="28"/>
      <c r="G27" s="26"/>
    </row>
    <row r="28" spans="1:11" ht="15.75" x14ac:dyDescent="0.2">
      <c r="C28" s="23"/>
      <c r="D28" s="28"/>
      <c r="E28" s="26"/>
      <c r="F28" s="28"/>
      <c r="G28" s="22"/>
    </row>
    <row r="29" spans="1:11" ht="30.75" customHeight="1" x14ac:dyDescent="0.2">
      <c r="C29" s="25"/>
      <c r="D29" s="28"/>
      <c r="F29" s="28"/>
      <c r="G29" s="21"/>
    </row>
    <row r="30" spans="1:11" ht="15.75" x14ac:dyDescent="0.2">
      <c r="C30" s="25"/>
      <c r="D30" s="28"/>
      <c r="F30" s="28"/>
      <c r="G30" s="21"/>
    </row>
    <row r="31" spans="1:11" ht="15.75" x14ac:dyDescent="0.2">
      <c r="D31" s="28"/>
      <c r="E31" s="23"/>
      <c r="F31" s="21"/>
      <c r="G31" s="21"/>
    </row>
    <row r="32" spans="1:11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="90" zoomScaleNormal="90" workbookViewId="0">
      <selection activeCell="H1" sqref="H1:M1048576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6" width="21.5703125" style="1" customWidth="1"/>
    <col min="7" max="7" width="22.28515625" style="1" customWidth="1"/>
    <col min="8" max="9" width="16.42578125" style="1" hidden="1" customWidth="1"/>
    <col min="10" max="10" width="18.7109375" style="1" hidden="1" customWidth="1"/>
    <col min="11" max="11" width="19.140625" style="1" hidden="1" customWidth="1"/>
    <col min="12" max="12" width="15.42578125" style="1" hidden="1" customWidth="1"/>
    <col min="13" max="13" width="13.5703125" style="1" hidden="1" customWidth="1"/>
    <col min="14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thickBot="1" x14ac:dyDescent="0.25"/>
    <row r="3" spans="1:13" ht="15.75" customHeight="1" x14ac:dyDescent="0.2">
      <c r="A3" s="116" t="s">
        <v>42</v>
      </c>
      <c r="B3" s="117"/>
      <c r="C3" s="117"/>
      <c r="D3" s="117"/>
      <c r="E3" s="117"/>
      <c r="F3" s="117"/>
      <c r="G3" s="118"/>
      <c r="J3" s="48" t="s">
        <v>38</v>
      </c>
      <c r="K3" s="48"/>
    </row>
    <row r="4" spans="1:13" ht="18" x14ac:dyDescent="0.25">
      <c r="A4" s="78" t="s">
        <v>0</v>
      </c>
      <c r="B4" s="79"/>
      <c r="C4" s="80"/>
      <c r="D4" s="79"/>
      <c r="E4" s="79"/>
      <c r="F4" s="79"/>
      <c r="G4" s="81"/>
      <c r="H4" s="121" t="s">
        <v>41</v>
      </c>
      <c r="I4" s="121"/>
    </row>
    <row r="5" spans="1:13" s="20" customFormat="1" ht="63" customHeight="1" thickBot="1" x14ac:dyDescent="0.25">
      <c r="A5" s="82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83" t="s">
        <v>12</v>
      </c>
      <c r="H5" s="31" t="s">
        <v>15</v>
      </c>
      <c r="I5" s="30" t="s">
        <v>16</v>
      </c>
      <c r="J5" s="32" t="s">
        <v>31</v>
      </c>
      <c r="K5" s="32" t="s">
        <v>32</v>
      </c>
      <c r="L5" s="32" t="s">
        <v>33</v>
      </c>
      <c r="M5" s="32" t="s">
        <v>34</v>
      </c>
    </row>
    <row r="6" spans="1:13" ht="30" customHeight="1" thickBot="1" x14ac:dyDescent="0.25">
      <c r="A6" s="84" t="s">
        <v>4</v>
      </c>
      <c r="B6" s="9" t="s">
        <v>5</v>
      </c>
      <c r="C6" s="11">
        <f>SUM(C7:C11)</f>
        <v>28695</v>
      </c>
      <c r="D6" s="11">
        <f>SUM(D7:D11)</f>
        <v>20041.645939280002</v>
      </c>
      <c r="E6" s="12">
        <f>IF(C6=0,"",D6/C6)</f>
        <v>0.69843686841888841</v>
      </c>
      <c r="F6" s="11">
        <f>SUM(F7:F11)</f>
        <v>18265.306577160005</v>
      </c>
      <c r="G6" s="85">
        <f>IF(C6=0,"",F6/C6)</f>
        <v>0.63653272615995837</v>
      </c>
      <c r="H6" s="73">
        <f>D6/$D$17</f>
        <v>0.19077108794062447</v>
      </c>
      <c r="I6" s="46">
        <f>F6/$F$17</f>
        <v>0.37685366683800176</v>
      </c>
      <c r="J6" s="52">
        <f>SUM(J7:J11)</f>
        <v>22261.446152290002</v>
      </c>
      <c r="K6" s="53">
        <f>SUM(K7:K11)</f>
        <v>18740.36226029</v>
      </c>
      <c r="L6" s="57">
        <f t="shared" ref="L6:L17" si="0">D6-J6</f>
        <v>-2219.8002130099994</v>
      </c>
      <c r="M6" s="58">
        <f t="shared" ref="M6:M17" si="1">F6-K6</f>
        <v>-475.05568312999458</v>
      </c>
    </row>
    <row r="7" spans="1:13" ht="30" customHeight="1" x14ac:dyDescent="0.2">
      <c r="A7" s="86" t="s">
        <v>17</v>
      </c>
      <c r="B7" s="10" t="s">
        <v>6</v>
      </c>
      <c r="C7" s="13">
        <f>SEPTIEMBRE!C7</f>
        <v>10076</v>
      </c>
      <c r="D7" s="13">
        <f>SEPTIEMBRE!D7</f>
        <v>6701.2557850000003</v>
      </c>
      <c r="E7" s="14">
        <f>IF(C7=0,"",D7/C7)</f>
        <v>0.66507103860658989</v>
      </c>
      <c r="F7" s="13">
        <f>SEPTIEMBRE!F7</f>
        <v>6701.2557850000003</v>
      </c>
      <c r="G7" s="87">
        <f>IF(C7=0,"",F7/C7)</f>
        <v>0.66507103860658989</v>
      </c>
      <c r="H7" s="74">
        <f>D7/$D$6</f>
        <v>0.33436653882134909</v>
      </c>
      <c r="I7" s="49">
        <f>F7/$F$6</f>
        <v>0.36688438579944987</v>
      </c>
      <c r="J7" s="66">
        <f>7147046323.88/1000000</f>
        <v>7147.0463238800003</v>
      </c>
      <c r="K7" s="67">
        <f>7147046323.88/1000000</f>
        <v>7147.0463238800003</v>
      </c>
      <c r="L7" s="106">
        <f t="shared" si="0"/>
        <v>-445.79053887999999</v>
      </c>
      <c r="M7" s="107">
        <f t="shared" si="1"/>
        <v>-445.79053887999999</v>
      </c>
    </row>
    <row r="8" spans="1:13" ht="30" customHeight="1" x14ac:dyDescent="0.2">
      <c r="A8" s="86" t="s">
        <v>18</v>
      </c>
      <c r="B8" s="10" t="s">
        <v>19</v>
      </c>
      <c r="C8" s="13">
        <f>SEPTIEMBRE!C8</f>
        <v>3900</v>
      </c>
      <c r="D8" s="13">
        <f>SEPTIEMBRE!D8</f>
        <v>2715.7136212800001</v>
      </c>
      <c r="E8" s="14">
        <f>IF(C8=0,"",D8/C8)</f>
        <v>0.69633682596923074</v>
      </c>
      <c r="F8" s="13">
        <f>SEPTIEMBRE!F8</f>
        <v>1916.3842991600002</v>
      </c>
      <c r="G8" s="87">
        <f>IF(C8=0,"",F8/C8)</f>
        <v>0.49138058952820518</v>
      </c>
      <c r="H8" s="75">
        <f>D8/$D$6</f>
        <v>0.13550352249050671</v>
      </c>
      <c r="I8" s="50">
        <f t="shared" ref="I8" si="2">F8/$F$6</f>
        <v>0.10491936125267987</v>
      </c>
      <c r="J8" s="68">
        <f>3248977116.41/1000000</f>
        <v>3248.9771164099998</v>
      </c>
      <c r="K8" s="69">
        <f>2148002474.41/1000000</f>
        <v>2148.0024744099996</v>
      </c>
      <c r="L8" s="108">
        <f t="shared" si="0"/>
        <v>-533.26349512999968</v>
      </c>
      <c r="M8" s="109">
        <f t="shared" si="1"/>
        <v>-231.61817524999947</v>
      </c>
    </row>
    <row r="9" spans="1:13" ht="30" customHeight="1" x14ac:dyDescent="0.2">
      <c r="A9" s="86" t="s">
        <v>22</v>
      </c>
      <c r="B9" s="10" t="s">
        <v>7</v>
      </c>
      <c r="C9" s="13">
        <f>SEPTIEMBRE!C9</f>
        <v>14582</v>
      </c>
      <c r="D9" s="13">
        <f>SEPTIEMBRE!D9</f>
        <v>10591.809053999999</v>
      </c>
      <c r="E9" s="14">
        <f>IF(C9=0,"",D9/($C$9+$C$10))</f>
        <v>0.72368195230937415</v>
      </c>
      <c r="F9" s="13">
        <f>SEPTIEMBRE!F9</f>
        <v>9618.8080050000008</v>
      </c>
      <c r="G9" s="87">
        <f>IF(C9=0,"",F9/($C$9+$C$10))</f>
        <v>0.65720196809237497</v>
      </c>
      <c r="H9" s="75">
        <f>D9/$D$6</f>
        <v>0.52848997961993294</v>
      </c>
      <c r="I9" s="50">
        <f>F9/$F$6</f>
        <v>0.5266162910743537</v>
      </c>
      <c r="J9" s="68">
        <f>11839218500/1000000</f>
        <v>11839.218500000001</v>
      </c>
      <c r="K9" s="69">
        <f>9419109250/1000000</f>
        <v>9419.1092499999995</v>
      </c>
      <c r="L9" s="108">
        <f t="shared" si="0"/>
        <v>-1247.4094460000015</v>
      </c>
      <c r="M9" s="60">
        <f t="shared" si="1"/>
        <v>199.69875500000126</v>
      </c>
    </row>
    <row r="10" spans="1:13" ht="30" customHeight="1" x14ac:dyDescent="0.2">
      <c r="A10" s="86" t="s">
        <v>24</v>
      </c>
      <c r="B10" s="10" t="s">
        <v>23</v>
      </c>
      <c r="C10" s="13">
        <f>SEPTIEMBRE!C10</f>
        <v>54</v>
      </c>
      <c r="D10" s="13">
        <f>SEPTIEMBRE!D10</f>
        <v>32.501479000000003</v>
      </c>
      <c r="E10" s="14">
        <f>IF(C10=0,"",D10/($C$9+$C$10))</f>
        <v>2.2206531156053568E-3</v>
      </c>
      <c r="F10" s="13">
        <f>SEPTIEMBRE!F10</f>
        <v>28.492488000000002</v>
      </c>
      <c r="G10" s="87">
        <f>IF(C10=0,"",F10/($C$9+$C$10))</f>
        <v>1.9467400929215634E-3</v>
      </c>
      <c r="H10" s="75">
        <f>D10/$D$6</f>
        <v>1.6216970950624239E-3</v>
      </c>
      <c r="I10" s="50">
        <f>F10/$F$6</f>
        <v>1.5599238851883633E-3</v>
      </c>
      <c r="J10" s="68">
        <f>20504212/1000000</f>
        <v>20.504211999999999</v>
      </c>
      <c r="K10" s="69">
        <f>20504212/1000000</f>
        <v>20.504211999999999</v>
      </c>
      <c r="L10" s="59">
        <f t="shared" si="0"/>
        <v>11.997267000000004</v>
      </c>
      <c r="M10" s="60">
        <f t="shared" si="1"/>
        <v>7.9882760000000026</v>
      </c>
    </row>
    <row r="11" spans="1:13" ht="30" customHeight="1" thickBot="1" x14ac:dyDescent="0.25">
      <c r="A11" s="86" t="s">
        <v>20</v>
      </c>
      <c r="B11" s="10" t="s">
        <v>21</v>
      </c>
      <c r="C11" s="13">
        <f>SEPTIEMBRE!C11</f>
        <v>83</v>
      </c>
      <c r="D11" s="13">
        <f>SEPTIEMBRE!D11</f>
        <v>0.36599999999999999</v>
      </c>
      <c r="E11" s="14">
        <f>IF(C11=0,"",D11/(C11))</f>
        <v>4.4096385542168673E-3</v>
      </c>
      <c r="F11" s="13">
        <f>SEPTIEMBRE!F11</f>
        <v>0.36599999999999999</v>
      </c>
      <c r="G11" s="87">
        <f>IF(C11=0,"",F11/(C11))</f>
        <v>4.4096385542168673E-3</v>
      </c>
      <c r="H11" s="76">
        <f>D11/$D$6</f>
        <v>1.8261973148755694E-5</v>
      </c>
      <c r="I11" s="54">
        <f>F11/$F$6</f>
        <v>2.0037988327974058E-5</v>
      </c>
      <c r="J11" s="70">
        <v>5.7</v>
      </c>
      <c r="K11" s="71">
        <v>5.7</v>
      </c>
      <c r="L11" s="110">
        <f t="shared" si="0"/>
        <v>-5.3340000000000005</v>
      </c>
      <c r="M11" s="111">
        <f t="shared" si="1"/>
        <v>-5.3340000000000005</v>
      </c>
    </row>
    <row r="12" spans="1:13" ht="30" customHeight="1" thickBot="1" x14ac:dyDescent="0.25">
      <c r="A12" s="84" t="s">
        <v>8</v>
      </c>
      <c r="B12" s="9" t="s">
        <v>9</v>
      </c>
      <c r="C12" s="15">
        <f>SUM(C13:C16)</f>
        <v>100157.5</v>
      </c>
      <c r="D12" s="15">
        <f>SUM(D13:D16)</f>
        <v>85014.346326789993</v>
      </c>
      <c r="E12" s="12">
        <f t="shared" ref="E12" si="3">IF(C12=0,"",D12/C12)</f>
        <v>0.84880659288410742</v>
      </c>
      <c r="F12" s="15">
        <f>SUM(F13:F16)</f>
        <v>30202.595381749998</v>
      </c>
      <c r="G12" s="85">
        <f>IF(C12=0,"",F12/C12)</f>
        <v>0.30155101097521403</v>
      </c>
      <c r="H12" s="73">
        <f>D12/$D$17</f>
        <v>0.80922891205937553</v>
      </c>
      <c r="I12" s="46">
        <f>F12/$F$17</f>
        <v>0.62314633316199819</v>
      </c>
      <c r="J12" s="55">
        <f>SUM(J13:J16)</f>
        <v>60431.064678279698</v>
      </c>
      <c r="K12" s="56">
        <f>SUM(K13:K16)</f>
        <v>27342.280443266191</v>
      </c>
      <c r="L12" s="57">
        <f t="shared" si="0"/>
        <v>24583.281648510296</v>
      </c>
      <c r="M12" s="58">
        <f t="shared" si="1"/>
        <v>2860.3149384838071</v>
      </c>
    </row>
    <row r="13" spans="1:13" s="2" customFormat="1" ht="45.75" customHeight="1" x14ac:dyDescent="0.2">
      <c r="A13" s="86" t="s">
        <v>26</v>
      </c>
      <c r="B13" s="10" t="s">
        <v>25</v>
      </c>
      <c r="C13" s="13">
        <f>SEPTIEMBRE!C13</f>
        <v>3470</v>
      </c>
      <c r="D13" s="13">
        <f>SEPTIEMBRE!D13</f>
        <v>2958.6410139999998</v>
      </c>
      <c r="E13" s="14">
        <f>IF(C13=0,"",D13/C13)</f>
        <v>0.85263429798270884</v>
      </c>
      <c r="F13" s="13">
        <f>SEPTIEMBRE!F13</f>
        <v>2045.1229040000001</v>
      </c>
      <c r="G13" s="87">
        <f t="shared" ref="G13:G16" si="4">IF(C13=0,"",F13/C13)</f>
        <v>0.58937259481268012</v>
      </c>
      <c r="H13" s="74">
        <f>D13/$D$12</f>
        <v>3.4801667504766348E-2</v>
      </c>
      <c r="I13" s="49">
        <f>F13/$F$12</f>
        <v>6.7713482174309142E-2</v>
      </c>
      <c r="J13" s="66">
        <f>3000000000/1000000</f>
        <v>3000</v>
      </c>
      <c r="K13" s="67">
        <f>1500000000/1000000</f>
        <v>1500</v>
      </c>
      <c r="L13" s="106">
        <f t="shared" si="0"/>
        <v>-41.358986000000186</v>
      </c>
      <c r="M13" s="107">
        <f t="shared" si="1"/>
        <v>545.12290400000006</v>
      </c>
    </row>
    <row r="14" spans="1:13" ht="45.75" customHeight="1" x14ac:dyDescent="0.2">
      <c r="A14" s="86" t="s">
        <v>27</v>
      </c>
      <c r="B14" s="10" t="s">
        <v>35</v>
      </c>
      <c r="C14" s="13">
        <f>SEPTIEMBRE!C14</f>
        <v>95707.5</v>
      </c>
      <c r="D14" s="13">
        <f>SEPTIEMBRE!D14</f>
        <v>81581.274104380005</v>
      </c>
      <c r="E14" s="14">
        <f>IF(C14=0,"",D14/C14)</f>
        <v>0.85240210123950588</v>
      </c>
      <c r="F14" s="13">
        <f>SEPTIEMBRE!F14</f>
        <v>27834.981089339999</v>
      </c>
      <c r="G14" s="87">
        <f t="shared" si="4"/>
        <v>0.2908338540797743</v>
      </c>
      <c r="H14" s="75">
        <f>D14/$D$12</f>
        <v>0.95961773076260015</v>
      </c>
      <c r="I14" s="50">
        <f t="shared" ref="I14" si="5">F14/$F$12</f>
        <v>0.92160891266183576</v>
      </c>
      <c r="J14" s="68">
        <f>56565864678.2797/1000000</f>
        <v>56565.8646782797</v>
      </c>
      <c r="K14" s="69">
        <f>25464434252.79/1000000</f>
        <v>25464.434252790001</v>
      </c>
      <c r="L14" s="59">
        <f t="shared" si="0"/>
        <v>25015.409426100305</v>
      </c>
      <c r="M14" s="60">
        <f t="shared" si="1"/>
        <v>2370.5468365499983</v>
      </c>
    </row>
    <row r="15" spans="1:13" s="2" customFormat="1" ht="45.75" customHeight="1" x14ac:dyDescent="0.2">
      <c r="A15" s="86" t="s">
        <v>29</v>
      </c>
      <c r="B15" s="10" t="s">
        <v>30</v>
      </c>
      <c r="C15" s="13">
        <f>SEPTIEMBRE!C15</f>
        <v>450</v>
      </c>
      <c r="D15" s="13">
        <f>SEPTIEMBRE!D15</f>
        <v>345.50120841</v>
      </c>
      <c r="E15" s="14">
        <f>IF(C15=0,"",D15/C15)</f>
        <v>0.76778046313333337</v>
      </c>
      <c r="F15" s="13">
        <f>SEPTIEMBRE!F15</f>
        <v>204.96138840999998</v>
      </c>
      <c r="G15" s="87">
        <f t="shared" si="4"/>
        <v>0.45546975202222217</v>
      </c>
      <c r="H15" s="75">
        <f>D15/$D$12</f>
        <v>4.064034169973081E-3</v>
      </c>
      <c r="I15" s="50">
        <f>F15/$F$12</f>
        <v>6.7862177345807996E-3</v>
      </c>
      <c r="J15" s="68">
        <f>412000000/1000000</f>
        <v>412</v>
      </c>
      <c r="K15" s="69">
        <f>334619047.619048/100000000</f>
        <v>3.3461904761904799</v>
      </c>
      <c r="L15" s="108">
        <f t="shared" si="0"/>
        <v>-66.498791589999996</v>
      </c>
      <c r="M15" s="60">
        <f t="shared" si="1"/>
        <v>201.6151979338095</v>
      </c>
    </row>
    <row r="16" spans="1:13" s="2" customFormat="1" ht="45.75" customHeight="1" thickBot="1" x14ac:dyDescent="0.25">
      <c r="A16" s="86" t="s">
        <v>39</v>
      </c>
      <c r="B16" s="10" t="s">
        <v>40</v>
      </c>
      <c r="C16" s="13">
        <f>SEPTIEMBRE!C16</f>
        <v>530</v>
      </c>
      <c r="D16" s="13">
        <f>SEPTIEMBRE!D16</f>
        <v>128.93</v>
      </c>
      <c r="E16" s="14">
        <f>IF(C16=0,"",D16/C16)</f>
        <v>0.24326415094339623</v>
      </c>
      <c r="F16" s="13">
        <f>SEPTIEMBRE!F16</f>
        <v>117.53</v>
      </c>
      <c r="G16" s="87">
        <f t="shared" si="4"/>
        <v>0.22175471698113208</v>
      </c>
      <c r="H16" s="77">
        <f>D16/$D$12</f>
        <v>1.5165675626605526E-3</v>
      </c>
      <c r="I16" s="51">
        <f>F16/$F$12</f>
        <v>3.8913874292743011E-3</v>
      </c>
      <c r="J16" s="70">
        <f>453200000/1000000</f>
        <v>453.2</v>
      </c>
      <c r="K16" s="71">
        <f>374500000/1000000</f>
        <v>374.5</v>
      </c>
      <c r="L16" s="112">
        <f t="shared" si="0"/>
        <v>-324.27</v>
      </c>
      <c r="M16" s="113">
        <f t="shared" si="1"/>
        <v>-256.97000000000003</v>
      </c>
    </row>
    <row r="17" spans="1:14" s="3" customFormat="1" ht="33" customHeight="1" thickBot="1" x14ac:dyDescent="0.3">
      <c r="A17" s="119" t="s">
        <v>10</v>
      </c>
      <c r="B17" s="120"/>
      <c r="C17" s="88">
        <f>C6+C12</f>
        <v>128852.5</v>
      </c>
      <c r="D17" s="88">
        <f>D6+D12</f>
        <v>105055.99226607</v>
      </c>
      <c r="E17" s="89">
        <f>IF(C17=0,"",D17/C17)</f>
        <v>0.81531978243394576</v>
      </c>
      <c r="F17" s="88">
        <f>F6+F12</f>
        <v>48467.901958910006</v>
      </c>
      <c r="G17" s="90">
        <f>IF(C17=0,"",F17/C17)</f>
        <v>0.37615026451881034</v>
      </c>
      <c r="J17" s="33">
        <f>J6+J12</f>
        <v>82692.510830569692</v>
      </c>
      <c r="K17" s="33">
        <f>K6+K12</f>
        <v>46082.642703556194</v>
      </c>
      <c r="L17" s="61">
        <f t="shared" si="0"/>
        <v>22363.481435500304</v>
      </c>
      <c r="M17" s="61">
        <f t="shared" si="1"/>
        <v>2385.2592553538125</v>
      </c>
      <c r="N17" s="7"/>
    </row>
    <row r="18" spans="1:14" s="3" customFormat="1" ht="12" customHeight="1" x14ac:dyDescent="0.25">
      <c r="A18" s="8"/>
      <c r="B18" s="8"/>
      <c r="C18" s="4"/>
      <c r="D18" s="4"/>
      <c r="E18" s="5"/>
      <c r="F18" s="4"/>
      <c r="G18" s="5"/>
      <c r="H18" s="7"/>
      <c r="I18" s="7"/>
      <c r="J18" s="34"/>
      <c r="K18" s="34"/>
      <c r="L18" s="34"/>
      <c r="M18" s="34"/>
    </row>
    <row r="19" spans="1:14" s="3" customFormat="1" ht="17.25" customHeight="1" x14ac:dyDescent="0.2">
      <c r="A19" s="8"/>
      <c r="B19" s="8"/>
      <c r="C19" s="27"/>
      <c r="D19" s="103"/>
      <c r="E19" s="29"/>
      <c r="F19" s="28"/>
      <c r="G19" s="26"/>
      <c r="I19" s="7"/>
    </row>
    <row r="20" spans="1:14" ht="18" customHeight="1" x14ac:dyDescent="0.2">
      <c r="D20" s="28"/>
      <c r="E20" s="26"/>
      <c r="F20" s="28"/>
      <c r="G20" s="26"/>
    </row>
    <row r="21" spans="1:14" ht="18" customHeight="1" x14ac:dyDescent="0.2">
      <c r="D21" s="28"/>
      <c r="E21" s="26"/>
      <c r="F21" s="28"/>
      <c r="G21" s="26"/>
    </row>
    <row r="22" spans="1:14" ht="18" customHeight="1" x14ac:dyDescent="0.2">
      <c r="C22" s="23"/>
      <c r="D22" s="28"/>
      <c r="E22" s="26"/>
      <c r="F22" s="28"/>
      <c r="G22" s="26"/>
    </row>
    <row r="23" spans="1:14" ht="18" customHeight="1" x14ac:dyDescent="0.2">
      <c r="D23" s="28"/>
      <c r="F23" s="28"/>
    </row>
    <row r="24" spans="1:14" ht="18" customHeight="1" x14ac:dyDescent="0.2">
      <c r="D24" s="28"/>
      <c r="E24" s="26"/>
      <c r="F24" s="28"/>
      <c r="G24" s="26"/>
    </row>
    <row r="25" spans="1:14" ht="18" customHeight="1" x14ac:dyDescent="0.2">
      <c r="C25" s="23"/>
      <c r="D25" s="28"/>
      <c r="E25" s="26"/>
      <c r="F25" s="28"/>
      <c r="G25" s="26"/>
    </row>
    <row r="26" spans="1:14" s="6" customFormat="1" ht="18" customHeight="1" x14ac:dyDescent="0.2">
      <c r="C26" s="24"/>
      <c r="D26" s="28"/>
      <c r="E26" s="26"/>
      <c r="F26" s="28"/>
      <c r="G26" s="26"/>
    </row>
    <row r="27" spans="1:14" ht="15.75" x14ac:dyDescent="0.2">
      <c r="C27" s="24"/>
      <c r="D27" s="28"/>
      <c r="E27" s="26"/>
      <c r="F27" s="28"/>
      <c r="G27" s="26"/>
    </row>
    <row r="28" spans="1:14" ht="15.75" x14ac:dyDescent="0.2">
      <c r="C28" s="23"/>
      <c r="D28" s="28"/>
      <c r="E28" s="26"/>
      <c r="F28" s="28"/>
      <c r="G28" s="22"/>
    </row>
    <row r="29" spans="1:14" ht="30.75" customHeight="1" x14ac:dyDescent="0.2">
      <c r="C29" s="25"/>
      <c r="D29" s="28"/>
      <c r="F29" s="28"/>
      <c r="G29" s="21"/>
    </row>
    <row r="30" spans="1:14" ht="15.75" x14ac:dyDescent="0.2">
      <c r="C30" s="25"/>
      <c r="D30" s="28"/>
      <c r="F30" s="28"/>
      <c r="G30" s="21"/>
    </row>
    <row r="31" spans="1:14" ht="15.75" x14ac:dyDescent="0.2">
      <c r="D31" s="28"/>
      <c r="E31" s="23"/>
      <c r="F31" s="21"/>
      <c r="G31" s="21"/>
    </row>
    <row r="32" spans="1:14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2021-10-12T19:58:27Z</dcterms:modified>
</cp:coreProperties>
</file>